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0">#REF!</definedName>
    <definedName name="\M">#REF!</definedName>
    <definedName name="angie">#REF!</definedName>
    <definedName name="date">#REF!</definedName>
    <definedName name="netmargin1">'[12]Debt Service Ratio revised'!$B$9:$D$143</definedName>
    <definedName name="PAGE1">#REF!</definedName>
    <definedName name="PAGE2">#REF!</definedName>
    <definedName name="PAGE3">#REF!</definedName>
    <definedName name="_xlnm.Print_Area" localSheetId="0">'REG1'!$B:$J</definedName>
    <definedName name="_xlnm.Print_Titles" localSheetId="0">'REG1'!$A:$A,'REG1'!$1:$4</definedName>
    <definedName name="Print_Titles_MI">#REF!</definedName>
    <definedName name="sched">'[13]Acid Test'!$A$104:$G$142</definedName>
    <definedName name="sl">[12]main!$A$2:$L$165</definedName>
    <definedName name="systemlossmar14">[14]main!$A$2:$K$165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3" i="1" l="1"/>
  <c r="AA92" i="1"/>
  <c r="V92" i="1"/>
  <c r="Q92" i="1"/>
  <c r="L92" i="1"/>
  <c r="G92" i="1"/>
  <c r="B92" i="1"/>
  <c r="B89" i="1"/>
  <c r="C89" i="1" s="1"/>
  <c r="AA72" i="1" s="1"/>
  <c r="A89" i="1"/>
  <c r="B88" i="1"/>
  <c r="C88" i="1" s="1"/>
  <c r="V72" i="1" s="1"/>
  <c r="A88" i="1"/>
  <c r="C87" i="1"/>
  <c r="Q72" i="1" s="1"/>
  <c r="B87" i="1"/>
  <c r="A87" i="1"/>
  <c r="B86" i="1"/>
  <c r="C86" i="1" s="1"/>
  <c r="L72" i="1" s="1"/>
  <c r="A86" i="1"/>
  <c r="B85" i="1"/>
  <c r="C85" i="1" s="1"/>
  <c r="G72" i="1" s="1"/>
  <c r="A85" i="1"/>
  <c r="B84" i="1"/>
  <c r="C84" i="1" s="1"/>
  <c r="B72" i="1" s="1"/>
  <c r="E72" i="1" s="1"/>
  <c r="A84" i="1"/>
  <c r="AA80" i="1"/>
  <c r="V80" i="1"/>
  <c r="Q80" i="1"/>
  <c r="L80" i="1"/>
  <c r="G80" i="1"/>
  <c r="AF80" i="1" s="1"/>
  <c r="B80" i="1"/>
  <c r="AG77" i="1"/>
  <c r="AF77" i="1"/>
  <c r="AH77" i="1" s="1"/>
  <c r="AI77" i="1" s="1"/>
  <c r="AC77" i="1"/>
  <c r="AD77" i="1" s="1"/>
  <c r="X77" i="1"/>
  <c r="Y77" i="1" s="1"/>
  <c r="S77" i="1"/>
  <c r="T77" i="1" s="1"/>
  <c r="O77" i="1"/>
  <c r="N77" i="1"/>
  <c r="I77" i="1"/>
  <c r="J77" i="1" s="1"/>
  <c r="D77" i="1"/>
  <c r="E77" i="1" s="1"/>
  <c r="AA76" i="1"/>
  <c r="Q76" i="1"/>
  <c r="G76" i="1"/>
  <c r="AF75" i="1"/>
  <c r="AH75" i="1" s="1"/>
  <c r="AI75" i="1" s="1"/>
  <c r="AB75" i="1"/>
  <c r="AA75" i="1"/>
  <c r="AC75" i="1" s="1"/>
  <c r="AD75" i="1" s="1"/>
  <c r="W75" i="1"/>
  <c r="V75" i="1"/>
  <c r="X75" i="1" s="1"/>
  <c r="Y75" i="1" s="1"/>
  <c r="R75" i="1"/>
  <c r="Q75" i="1"/>
  <c r="S75" i="1" s="1"/>
  <c r="T75" i="1" s="1"/>
  <c r="M75" i="1"/>
  <c r="L75" i="1"/>
  <c r="N75" i="1" s="1"/>
  <c r="O75" i="1" s="1"/>
  <c r="H75" i="1"/>
  <c r="G75" i="1"/>
  <c r="I75" i="1" s="1"/>
  <c r="J75" i="1" s="1"/>
  <c r="C75" i="1"/>
  <c r="B75" i="1"/>
  <c r="D75" i="1" s="1"/>
  <c r="E75" i="1" s="1"/>
  <c r="AG74" i="1"/>
  <c r="AF74" i="1"/>
  <c r="AH74" i="1" s="1"/>
  <c r="AI74" i="1" s="1"/>
  <c r="AC74" i="1"/>
  <c r="AD74" i="1" s="1"/>
  <c r="Y74" i="1"/>
  <c r="X74" i="1"/>
  <c r="S74" i="1"/>
  <c r="T74" i="1" s="1"/>
  <c r="N74" i="1"/>
  <c r="O74" i="1" s="1"/>
  <c r="I74" i="1"/>
  <c r="J74" i="1" s="1"/>
  <c r="D74" i="1"/>
  <c r="E74" i="1" s="1"/>
  <c r="AG73" i="1"/>
  <c r="AG75" i="1" s="1"/>
  <c r="AF73" i="1"/>
  <c r="AC73" i="1"/>
  <c r="AD73" i="1" s="1"/>
  <c r="X73" i="1"/>
  <c r="Y73" i="1" s="1"/>
  <c r="S73" i="1"/>
  <c r="T73" i="1" s="1"/>
  <c r="N73" i="1"/>
  <c r="O73" i="1" s="1"/>
  <c r="I73" i="1"/>
  <c r="J73" i="1" s="1"/>
  <c r="D73" i="1"/>
  <c r="E73" i="1" s="1"/>
  <c r="AD72" i="1"/>
  <c r="AB72" i="1"/>
  <c r="W72" i="1"/>
  <c r="Y72" i="1" s="1"/>
  <c r="R72" i="1"/>
  <c r="M72" i="1"/>
  <c r="J72" i="1"/>
  <c r="H72" i="1"/>
  <c r="C72" i="1"/>
  <c r="AB71" i="1"/>
  <c r="W71" i="1"/>
  <c r="R71" i="1"/>
  <c r="M71" i="1"/>
  <c r="H71" i="1"/>
  <c r="C71" i="1"/>
  <c r="AB68" i="1"/>
  <c r="AD68" i="1" s="1"/>
  <c r="AA68" i="1"/>
  <c r="W68" i="1"/>
  <c r="V68" i="1"/>
  <c r="Y68" i="1" s="1"/>
  <c r="R68" i="1"/>
  <c r="Q68" i="1"/>
  <c r="T68" i="1" s="1"/>
  <c r="O68" i="1"/>
  <c r="M68" i="1"/>
  <c r="L68" i="1"/>
  <c r="H68" i="1"/>
  <c r="J68" i="1" s="1"/>
  <c r="G68" i="1"/>
  <c r="C68" i="1"/>
  <c r="B68" i="1"/>
  <c r="AG67" i="1"/>
  <c r="AF67" i="1"/>
  <c r="AH67" i="1" s="1"/>
  <c r="AI67" i="1" s="1"/>
  <c r="AD67" i="1"/>
  <c r="AC67" i="1"/>
  <c r="X67" i="1"/>
  <c r="T67" i="1"/>
  <c r="S67" i="1"/>
  <c r="N67" i="1"/>
  <c r="O67" i="1" s="1"/>
  <c r="J67" i="1"/>
  <c r="I67" i="1"/>
  <c r="D67" i="1"/>
  <c r="E67" i="1" s="1"/>
  <c r="AG66" i="1"/>
  <c r="AF66" i="1"/>
  <c r="AH66" i="1" s="1"/>
  <c r="AI66" i="1" s="1"/>
  <c r="AD66" i="1"/>
  <c r="AC66" i="1"/>
  <c r="X66" i="1"/>
  <c r="Y66" i="1" s="1"/>
  <c r="T66" i="1"/>
  <c r="S66" i="1"/>
  <c r="N66" i="1"/>
  <c r="O66" i="1" s="1"/>
  <c r="J66" i="1"/>
  <c r="I66" i="1"/>
  <c r="D66" i="1"/>
  <c r="E66" i="1" s="1"/>
  <c r="AG65" i="1"/>
  <c r="AG68" i="1" s="1"/>
  <c r="AF65" i="1"/>
  <c r="AD65" i="1"/>
  <c r="AC65" i="1"/>
  <c r="X65" i="1"/>
  <c r="Y65" i="1" s="1"/>
  <c r="T65" i="1"/>
  <c r="S65" i="1"/>
  <c r="N65" i="1"/>
  <c r="O65" i="1" s="1"/>
  <c r="J65" i="1"/>
  <c r="I65" i="1"/>
  <c r="D65" i="1"/>
  <c r="E65" i="1" s="1"/>
  <c r="AF61" i="1"/>
  <c r="AD61" i="1"/>
  <c r="AB61" i="1"/>
  <c r="AA61" i="1"/>
  <c r="AC61" i="1" s="1"/>
  <c r="X61" i="1"/>
  <c r="W61" i="1"/>
  <c r="V61" i="1"/>
  <c r="S61" i="1"/>
  <c r="T61" i="1" s="1"/>
  <c r="R61" i="1"/>
  <c r="Q61" i="1"/>
  <c r="N61" i="1"/>
  <c r="O61" i="1" s="1"/>
  <c r="M61" i="1"/>
  <c r="L61" i="1"/>
  <c r="I61" i="1"/>
  <c r="J61" i="1" s="1"/>
  <c r="H61" i="1"/>
  <c r="AG61" i="1" s="1"/>
  <c r="G61" i="1"/>
  <c r="D61" i="1"/>
  <c r="E61" i="1" s="1"/>
  <c r="C61" i="1"/>
  <c r="B61" i="1"/>
  <c r="AB60" i="1"/>
  <c r="AC60" i="1" s="1"/>
  <c r="AA60" i="1"/>
  <c r="W60" i="1"/>
  <c r="V60" i="1"/>
  <c r="X60" i="1" s="1"/>
  <c r="R60" i="1"/>
  <c r="Q60" i="1"/>
  <c r="M60" i="1"/>
  <c r="L60" i="1"/>
  <c r="N60" i="1" s="1"/>
  <c r="O60" i="1" s="1"/>
  <c r="H60" i="1"/>
  <c r="G60" i="1"/>
  <c r="C60" i="1"/>
  <c r="B60" i="1"/>
  <c r="D60" i="1" s="1"/>
  <c r="E60" i="1" s="1"/>
  <c r="AG59" i="1"/>
  <c r="AF59" i="1"/>
  <c r="AH59" i="1" s="1"/>
  <c r="AC59" i="1"/>
  <c r="AB59" i="1"/>
  <c r="AA59" i="1"/>
  <c r="W59" i="1"/>
  <c r="X59" i="1" s="1"/>
  <c r="V59" i="1"/>
  <c r="S59" i="1"/>
  <c r="T59" i="1" s="1"/>
  <c r="R59" i="1"/>
  <c r="Q59" i="1"/>
  <c r="M59" i="1"/>
  <c r="N59" i="1" s="1"/>
  <c r="O59" i="1" s="1"/>
  <c r="L59" i="1"/>
  <c r="H59" i="1"/>
  <c r="I59" i="1" s="1"/>
  <c r="J59" i="1" s="1"/>
  <c r="G59" i="1"/>
  <c r="C59" i="1"/>
  <c r="D59" i="1" s="1"/>
  <c r="E59" i="1" s="1"/>
  <c r="B59" i="1"/>
  <c r="AB58" i="1"/>
  <c r="AC58" i="1" s="1"/>
  <c r="AD58" i="1" s="1"/>
  <c r="AA58" i="1"/>
  <c r="W58" i="1"/>
  <c r="X58" i="1" s="1"/>
  <c r="Y58" i="1" s="1"/>
  <c r="V58" i="1"/>
  <c r="S58" i="1"/>
  <c r="T58" i="1" s="1"/>
  <c r="R58" i="1"/>
  <c r="Q58" i="1"/>
  <c r="M58" i="1"/>
  <c r="N58" i="1" s="1"/>
  <c r="O58" i="1" s="1"/>
  <c r="L58" i="1"/>
  <c r="H58" i="1"/>
  <c r="I58" i="1" s="1"/>
  <c r="J58" i="1" s="1"/>
  <c r="G58" i="1"/>
  <c r="AF58" i="1" s="1"/>
  <c r="C58" i="1"/>
  <c r="D58" i="1" s="1"/>
  <c r="E58" i="1" s="1"/>
  <c r="B58" i="1"/>
  <c r="AB57" i="1"/>
  <c r="AC57" i="1" s="1"/>
  <c r="AD57" i="1" s="1"/>
  <c r="AA57" i="1"/>
  <c r="W57" i="1"/>
  <c r="X57" i="1" s="1"/>
  <c r="Y57" i="1" s="1"/>
  <c r="V57" i="1"/>
  <c r="S57" i="1"/>
  <c r="T57" i="1" s="1"/>
  <c r="R57" i="1"/>
  <c r="Q57" i="1"/>
  <c r="M57" i="1"/>
  <c r="N57" i="1" s="1"/>
  <c r="O57" i="1" s="1"/>
  <c r="L57" i="1"/>
  <c r="H57" i="1"/>
  <c r="I57" i="1" s="1"/>
  <c r="J57" i="1" s="1"/>
  <c r="G57" i="1"/>
  <c r="AF57" i="1" s="1"/>
  <c r="C57" i="1"/>
  <c r="D57" i="1" s="1"/>
  <c r="E57" i="1" s="1"/>
  <c r="B57" i="1"/>
  <c r="AH54" i="1"/>
  <c r="AI54" i="1" s="1"/>
  <c r="AG54" i="1"/>
  <c r="AF54" i="1"/>
  <c r="AC54" i="1"/>
  <c r="AD54" i="1" s="1"/>
  <c r="Y54" i="1"/>
  <c r="X54" i="1"/>
  <c r="S54" i="1"/>
  <c r="T54" i="1" s="1"/>
  <c r="O54" i="1"/>
  <c r="N54" i="1"/>
  <c r="I54" i="1"/>
  <c r="J54" i="1" s="1"/>
  <c r="E54" i="1"/>
  <c r="D54" i="1"/>
  <c r="C54" i="1"/>
  <c r="AC53" i="1"/>
  <c r="AD53" i="1" s="1"/>
  <c r="AB53" i="1"/>
  <c r="AA53" i="1"/>
  <c r="AF53" i="1" s="1"/>
  <c r="W53" i="1"/>
  <c r="X53" i="1" s="1"/>
  <c r="Y53" i="1" s="1"/>
  <c r="V53" i="1"/>
  <c r="S53" i="1"/>
  <c r="T53" i="1" s="1"/>
  <c r="R53" i="1"/>
  <c r="Q53" i="1"/>
  <c r="M53" i="1"/>
  <c r="N53" i="1" s="1"/>
  <c r="O53" i="1" s="1"/>
  <c r="L53" i="1"/>
  <c r="H53" i="1"/>
  <c r="I53" i="1" s="1"/>
  <c r="J53" i="1" s="1"/>
  <c r="G53" i="1"/>
  <c r="C53" i="1"/>
  <c r="D53" i="1" s="1"/>
  <c r="E53" i="1" s="1"/>
  <c r="B53" i="1"/>
  <c r="AB52" i="1"/>
  <c r="AA52" i="1"/>
  <c r="AF52" i="1" s="1"/>
  <c r="W52" i="1"/>
  <c r="X52" i="1" s="1"/>
  <c r="Y52" i="1" s="1"/>
  <c r="V52" i="1"/>
  <c r="R52" i="1"/>
  <c r="S52" i="1" s="1"/>
  <c r="T52" i="1" s="1"/>
  <c r="Q52" i="1"/>
  <c r="M52" i="1"/>
  <c r="N52" i="1" s="1"/>
  <c r="O52" i="1" s="1"/>
  <c r="L52" i="1"/>
  <c r="H52" i="1"/>
  <c r="I52" i="1" s="1"/>
  <c r="J52" i="1" s="1"/>
  <c r="G52" i="1"/>
  <c r="C52" i="1"/>
  <c r="D52" i="1" s="1"/>
  <c r="E52" i="1" s="1"/>
  <c r="B52" i="1"/>
  <c r="AG51" i="1"/>
  <c r="AB51" i="1"/>
  <c r="AA51" i="1"/>
  <c r="Y51" i="1"/>
  <c r="W51" i="1"/>
  <c r="V51" i="1"/>
  <c r="X51" i="1" s="1"/>
  <c r="R51" i="1"/>
  <c r="Q51" i="1"/>
  <c r="S51" i="1" s="1"/>
  <c r="T51" i="1" s="1"/>
  <c r="M51" i="1"/>
  <c r="L51" i="1"/>
  <c r="N51" i="1" s="1"/>
  <c r="O51" i="1" s="1"/>
  <c r="J51" i="1"/>
  <c r="H51" i="1"/>
  <c r="G51" i="1"/>
  <c r="I51" i="1" s="1"/>
  <c r="E51" i="1"/>
  <c r="C51" i="1"/>
  <c r="B51" i="1"/>
  <c r="D51" i="1" s="1"/>
  <c r="AD50" i="1"/>
  <c r="AB50" i="1"/>
  <c r="W50" i="1"/>
  <c r="R50" i="1"/>
  <c r="M50" i="1"/>
  <c r="H50" i="1"/>
  <c r="C50" i="1"/>
  <c r="AC49" i="1"/>
  <c r="AD49" i="1" s="1"/>
  <c r="AB49" i="1"/>
  <c r="AG49" i="1" s="1"/>
  <c r="AA49" i="1"/>
  <c r="AF49" i="1" s="1"/>
  <c r="X49" i="1"/>
  <c r="Y49" i="1" s="1"/>
  <c r="W49" i="1"/>
  <c r="V49" i="1"/>
  <c r="S49" i="1"/>
  <c r="T49" i="1" s="1"/>
  <c r="R49" i="1"/>
  <c r="Q49" i="1"/>
  <c r="N49" i="1"/>
  <c r="O49" i="1" s="1"/>
  <c r="M49" i="1"/>
  <c r="L49" i="1"/>
  <c r="I49" i="1"/>
  <c r="J49" i="1" s="1"/>
  <c r="H49" i="1"/>
  <c r="G49" i="1"/>
  <c r="D49" i="1"/>
  <c r="E49" i="1" s="1"/>
  <c r="C49" i="1"/>
  <c r="B49" i="1"/>
  <c r="M48" i="1"/>
  <c r="AB47" i="1"/>
  <c r="W47" i="1"/>
  <c r="R47" i="1"/>
  <c r="M47" i="1"/>
  <c r="H47" i="1"/>
  <c r="G47" i="1"/>
  <c r="I47" i="1" s="1"/>
  <c r="J47" i="1" s="1"/>
  <c r="C47" i="1"/>
  <c r="B47" i="1"/>
  <c r="D47" i="1" s="1"/>
  <c r="E47" i="1" s="1"/>
  <c r="AB46" i="1"/>
  <c r="AA46" i="1"/>
  <c r="AC46" i="1" s="1"/>
  <c r="AD46" i="1" s="1"/>
  <c r="Y46" i="1"/>
  <c r="W46" i="1"/>
  <c r="V46" i="1"/>
  <c r="X46" i="1" s="1"/>
  <c r="T46" i="1"/>
  <c r="R46" i="1"/>
  <c r="Q46" i="1"/>
  <c r="S46" i="1" s="1"/>
  <c r="M46" i="1"/>
  <c r="L46" i="1"/>
  <c r="N46" i="1" s="1"/>
  <c r="O46" i="1" s="1"/>
  <c r="H46" i="1"/>
  <c r="AG46" i="1" s="1"/>
  <c r="G46" i="1"/>
  <c r="I46" i="1" s="1"/>
  <c r="J46" i="1" s="1"/>
  <c r="E46" i="1"/>
  <c r="C46" i="1"/>
  <c r="B46" i="1"/>
  <c r="D46" i="1" s="1"/>
  <c r="M45" i="1"/>
  <c r="C45" i="1"/>
  <c r="M44" i="1"/>
  <c r="C44" i="1"/>
  <c r="M43" i="1"/>
  <c r="C43" i="1"/>
  <c r="M42" i="1"/>
  <c r="C42" i="1"/>
  <c r="M41" i="1"/>
  <c r="C41" i="1"/>
  <c r="M40" i="1"/>
  <c r="AD39" i="1"/>
  <c r="AC39" i="1"/>
  <c r="AB39" i="1"/>
  <c r="AA39" i="1"/>
  <c r="Y39" i="1"/>
  <c r="X39" i="1"/>
  <c r="W39" i="1"/>
  <c r="V39" i="1"/>
  <c r="T39" i="1"/>
  <c r="S39" i="1"/>
  <c r="R39" i="1"/>
  <c r="Q39" i="1"/>
  <c r="O39" i="1"/>
  <c r="N39" i="1"/>
  <c r="M39" i="1"/>
  <c r="L39" i="1"/>
  <c r="J39" i="1"/>
  <c r="I39" i="1"/>
  <c r="H39" i="1"/>
  <c r="AG39" i="1" s="1"/>
  <c r="G39" i="1"/>
  <c r="AF39" i="1" s="1"/>
  <c r="AH39" i="1" s="1"/>
  <c r="AI39" i="1" s="1"/>
  <c r="E39" i="1"/>
  <c r="D39" i="1"/>
  <c r="C39" i="1"/>
  <c r="B39" i="1"/>
  <c r="AC38" i="1"/>
  <c r="AB38" i="1"/>
  <c r="AA38" i="1"/>
  <c r="W38" i="1"/>
  <c r="X38" i="1" s="1"/>
  <c r="Y38" i="1" s="1"/>
  <c r="V38" i="1"/>
  <c r="S38" i="1"/>
  <c r="T38" i="1" s="1"/>
  <c r="R38" i="1"/>
  <c r="Q38" i="1"/>
  <c r="M38" i="1"/>
  <c r="L38" i="1"/>
  <c r="H38" i="1"/>
  <c r="G38" i="1"/>
  <c r="E38" i="1"/>
  <c r="C38" i="1"/>
  <c r="B38" i="1"/>
  <c r="D38" i="1" s="1"/>
  <c r="AF37" i="1"/>
  <c r="AH37" i="1" s="1"/>
  <c r="AI37" i="1" s="1"/>
  <c r="AB37" i="1"/>
  <c r="AA37" i="1"/>
  <c r="W37" i="1"/>
  <c r="V37" i="1"/>
  <c r="R37" i="1"/>
  <c r="Q37" i="1"/>
  <c r="M37" i="1"/>
  <c r="L37" i="1"/>
  <c r="H37" i="1"/>
  <c r="AG37" i="1" s="1"/>
  <c r="G37" i="1"/>
  <c r="E37" i="1"/>
  <c r="C37" i="1"/>
  <c r="B37" i="1"/>
  <c r="D37" i="1" s="1"/>
  <c r="AB33" i="1"/>
  <c r="W33" i="1"/>
  <c r="R33" i="1"/>
  <c r="M33" i="1"/>
  <c r="H33" i="1"/>
  <c r="C33" i="1"/>
  <c r="AB32" i="1"/>
  <c r="W32" i="1"/>
  <c r="R32" i="1"/>
  <c r="M32" i="1"/>
  <c r="H32" i="1"/>
  <c r="C32" i="1"/>
  <c r="AB31" i="1"/>
  <c r="AA31" i="1"/>
  <c r="W31" i="1"/>
  <c r="V31" i="1"/>
  <c r="R31" i="1"/>
  <c r="Q31" i="1"/>
  <c r="M31" i="1"/>
  <c r="L31" i="1"/>
  <c r="N31" i="1" s="1"/>
  <c r="O31" i="1" s="1"/>
  <c r="H31" i="1"/>
  <c r="AG31" i="1" s="1"/>
  <c r="G31" i="1"/>
  <c r="C31" i="1"/>
  <c r="B31" i="1"/>
  <c r="D31" i="1" s="1"/>
  <c r="AB30" i="1"/>
  <c r="W30" i="1"/>
  <c r="R30" i="1"/>
  <c r="M30" i="1"/>
  <c r="H30" i="1"/>
  <c r="C30" i="1"/>
  <c r="AB29" i="1"/>
  <c r="W29" i="1"/>
  <c r="R29" i="1"/>
  <c r="M29" i="1"/>
  <c r="H29" i="1"/>
  <c r="C29" i="1"/>
  <c r="AB28" i="1"/>
  <c r="AA28" i="1"/>
  <c r="W28" i="1"/>
  <c r="V28" i="1"/>
  <c r="X28" i="1" s="1"/>
  <c r="Y28" i="1" s="1"/>
  <c r="R28" i="1"/>
  <c r="Q28" i="1"/>
  <c r="M28" i="1"/>
  <c r="AG28" i="1" s="1"/>
  <c r="L28" i="1"/>
  <c r="N28" i="1" s="1"/>
  <c r="O28" i="1" s="1"/>
  <c r="H28" i="1"/>
  <c r="G28" i="1"/>
  <c r="I28" i="1" s="1"/>
  <c r="J28" i="1" s="1"/>
  <c r="D28" i="1"/>
  <c r="E28" i="1" s="1"/>
  <c r="C28" i="1"/>
  <c r="B28" i="1"/>
  <c r="AB27" i="1"/>
  <c r="AA27" i="1"/>
  <c r="AC27" i="1" s="1"/>
  <c r="AD27" i="1" s="1"/>
  <c r="X27" i="1"/>
  <c r="Y27" i="1" s="1"/>
  <c r="W27" i="1"/>
  <c r="V27" i="1"/>
  <c r="R27" i="1"/>
  <c r="S27" i="1" s="1"/>
  <c r="T27" i="1" s="1"/>
  <c r="Q27" i="1"/>
  <c r="M27" i="1"/>
  <c r="L27" i="1"/>
  <c r="N27" i="1" s="1"/>
  <c r="O27" i="1" s="1"/>
  <c r="H27" i="1"/>
  <c r="G27" i="1"/>
  <c r="I27" i="1" s="1"/>
  <c r="J27" i="1" s="1"/>
  <c r="D27" i="1"/>
  <c r="E27" i="1" s="1"/>
  <c r="C27" i="1"/>
  <c r="B27" i="1"/>
  <c r="AB26" i="1"/>
  <c r="W26" i="1"/>
  <c r="R26" i="1"/>
  <c r="M26" i="1"/>
  <c r="H26" i="1"/>
  <c r="C26" i="1"/>
  <c r="AB25" i="1"/>
  <c r="W25" i="1"/>
  <c r="R25" i="1"/>
  <c r="M25" i="1"/>
  <c r="H25" i="1"/>
  <c r="C25" i="1"/>
  <c r="AD24" i="1"/>
  <c r="AB24" i="1"/>
  <c r="AA24" i="1"/>
  <c r="Y24" i="1"/>
  <c r="W24" i="1"/>
  <c r="V24" i="1"/>
  <c r="V76" i="1" s="1"/>
  <c r="R24" i="1"/>
  <c r="Q24" i="1"/>
  <c r="M24" i="1"/>
  <c r="L24" i="1"/>
  <c r="L76" i="1" s="1"/>
  <c r="H24" i="1"/>
  <c r="G24" i="1"/>
  <c r="C24" i="1"/>
  <c r="AG24" i="1" s="1"/>
  <c r="B24" i="1"/>
  <c r="B76" i="1" s="1"/>
  <c r="AB23" i="1"/>
  <c r="W23" i="1"/>
  <c r="R23" i="1"/>
  <c r="M23" i="1"/>
  <c r="H23" i="1"/>
  <c r="C23" i="1"/>
  <c r="AC22" i="1"/>
  <c r="AD22" i="1" s="1"/>
  <c r="AB22" i="1"/>
  <c r="AA22" i="1"/>
  <c r="AA50" i="1" s="1"/>
  <c r="AC50" i="1" s="1"/>
  <c r="W22" i="1"/>
  <c r="W70" i="1" s="1"/>
  <c r="V22" i="1"/>
  <c r="V70" i="1" s="1"/>
  <c r="X70" i="1" s="1"/>
  <c r="Y70" i="1" s="1"/>
  <c r="R22" i="1"/>
  <c r="R70" i="1" s="1"/>
  <c r="Q22" i="1"/>
  <c r="N22" i="1"/>
  <c r="O22" i="1" s="1"/>
  <c r="M22" i="1"/>
  <c r="M70" i="1" s="1"/>
  <c r="L22" i="1"/>
  <c r="L70" i="1" s="1"/>
  <c r="N70" i="1" s="1"/>
  <c r="O70" i="1" s="1"/>
  <c r="H22" i="1"/>
  <c r="G22" i="1"/>
  <c r="G70" i="1" s="1"/>
  <c r="C22" i="1"/>
  <c r="C70" i="1" s="1"/>
  <c r="B22" i="1"/>
  <c r="AB21" i="1"/>
  <c r="AB70" i="1" s="1"/>
  <c r="W21" i="1"/>
  <c r="R21" i="1"/>
  <c r="M21" i="1"/>
  <c r="H21" i="1"/>
  <c r="C21" i="1"/>
  <c r="AB20" i="1"/>
  <c r="AA20" i="1"/>
  <c r="AC20" i="1" s="1"/>
  <c r="AD20" i="1" s="1"/>
  <c r="X20" i="1"/>
  <c r="Y20" i="1" s="1"/>
  <c r="W20" i="1"/>
  <c r="V20" i="1"/>
  <c r="R20" i="1"/>
  <c r="S20" i="1" s="1"/>
  <c r="T20" i="1" s="1"/>
  <c r="Q20" i="1"/>
  <c r="M20" i="1"/>
  <c r="AG20" i="1" s="1"/>
  <c r="L20" i="1"/>
  <c r="N20" i="1" s="1"/>
  <c r="O20" i="1" s="1"/>
  <c r="H20" i="1"/>
  <c r="G20" i="1"/>
  <c r="I20" i="1" s="1"/>
  <c r="J20" i="1" s="1"/>
  <c r="D20" i="1"/>
  <c r="E20" i="1" s="1"/>
  <c r="C20" i="1"/>
  <c r="B20" i="1"/>
  <c r="AB19" i="1"/>
  <c r="W19" i="1"/>
  <c r="R19" i="1"/>
  <c r="M19" i="1"/>
  <c r="H19" i="1"/>
  <c r="G19" i="1"/>
  <c r="G21" i="1" s="1"/>
  <c r="C19" i="1"/>
  <c r="B19" i="1"/>
  <c r="B21" i="1" s="1"/>
  <c r="AB18" i="1"/>
  <c r="AA18" i="1"/>
  <c r="AC18" i="1" s="1"/>
  <c r="W18" i="1"/>
  <c r="V18" i="1"/>
  <c r="X18" i="1" s="1"/>
  <c r="S18" i="1"/>
  <c r="R18" i="1"/>
  <c r="Q18" i="1"/>
  <c r="N18" i="1"/>
  <c r="O18" i="1" s="1"/>
  <c r="M18" i="1"/>
  <c r="L18" i="1"/>
  <c r="I18" i="1"/>
  <c r="J18" i="1" s="1"/>
  <c r="H18" i="1"/>
  <c r="AG18" i="1" s="1"/>
  <c r="G18" i="1"/>
  <c r="AF18" i="1" s="1"/>
  <c r="AH18" i="1" s="1"/>
  <c r="AI18" i="1" s="1"/>
  <c r="D18" i="1"/>
  <c r="E18" i="1" s="1"/>
  <c r="C18" i="1"/>
  <c r="B18" i="1"/>
  <c r="AB17" i="1"/>
  <c r="AA17" i="1"/>
  <c r="AA19" i="1" s="1"/>
  <c r="W17" i="1"/>
  <c r="V17" i="1"/>
  <c r="X17" i="1" s="1"/>
  <c r="S17" i="1"/>
  <c r="R17" i="1"/>
  <c r="Q17" i="1"/>
  <c r="N17" i="1"/>
  <c r="O17" i="1" s="1"/>
  <c r="M17" i="1"/>
  <c r="L17" i="1"/>
  <c r="I17" i="1"/>
  <c r="J17" i="1" s="1"/>
  <c r="H17" i="1"/>
  <c r="AG17" i="1" s="1"/>
  <c r="G17" i="1"/>
  <c r="AF17" i="1" s="1"/>
  <c r="AH17" i="1" s="1"/>
  <c r="AI17" i="1" s="1"/>
  <c r="C17" i="1"/>
  <c r="D17" i="1" s="1"/>
  <c r="B17" i="1"/>
  <c r="AB16" i="1"/>
  <c r="AC16" i="1" s="1"/>
  <c r="AD16" i="1" s="1"/>
  <c r="AA16" i="1"/>
  <c r="W16" i="1"/>
  <c r="X16" i="1" s="1"/>
  <c r="Y16" i="1" s="1"/>
  <c r="V16" i="1"/>
  <c r="R16" i="1"/>
  <c r="S16" i="1" s="1"/>
  <c r="T16" i="1" s="1"/>
  <c r="Q16" i="1"/>
  <c r="M16" i="1"/>
  <c r="N16" i="1" s="1"/>
  <c r="O16" i="1" s="1"/>
  <c r="L16" i="1"/>
  <c r="H16" i="1"/>
  <c r="I16" i="1" s="1"/>
  <c r="J16" i="1" s="1"/>
  <c r="G16" i="1"/>
  <c r="AF16" i="1" s="1"/>
  <c r="C16" i="1"/>
  <c r="D16" i="1" s="1"/>
  <c r="E16" i="1" s="1"/>
  <c r="B16" i="1"/>
  <c r="AB15" i="1"/>
  <c r="AC15" i="1" s="1"/>
  <c r="AD15" i="1" s="1"/>
  <c r="AA15" i="1"/>
  <c r="W15" i="1"/>
  <c r="X15" i="1" s="1"/>
  <c r="Y15" i="1" s="1"/>
  <c r="V15" i="1"/>
  <c r="R15" i="1"/>
  <c r="S15" i="1" s="1"/>
  <c r="T15" i="1" s="1"/>
  <c r="Q15" i="1"/>
  <c r="M15" i="1"/>
  <c r="N15" i="1" s="1"/>
  <c r="O15" i="1" s="1"/>
  <c r="L15" i="1"/>
  <c r="H15" i="1"/>
  <c r="I15" i="1" s="1"/>
  <c r="J15" i="1" s="1"/>
  <c r="G15" i="1"/>
  <c r="AF15" i="1" s="1"/>
  <c r="C15" i="1"/>
  <c r="D15" i="1" s="1"/>
  <c r="E15" i="1" s="1"/>
  <c r="B15" i="1"/>
  <c r="AB14" i="1"/>
  <c r="AC14" i="1" s="1"/>
  <c r="AD14" i="1" s="1"/>
  <c r="AA14" i="1"/>
  <c r="W14" i="1"/>
  <c r="X14" i="1" s="1"/>
  <c r="Y14" i="1" s="1"/>
  <c r="V14" i="1"/>
  <c r="R14" i="1"/>
  <c r="S14" i="1" s="1"/>
  <c r="T14" i="1" s="1"/>
  <c r="Q14" i="1"/>
  <c r="M14" i="1"/>
  <c r="N14" i="1" s="1"/>
  <c r="O14" i="1" s="1"/>
  <c r="L14" i="1"/>
  <c r="H14" i="1"/>
  <c r="I14" i="1" s="1"/>
  <c r="J14" i="1" s="1"/>
  <c r="G14" i="1"/>
  <c r="AF14" i="1" s="1"/>
  <c r="C14" i="1"/>
  <c r="D14" i="1" s="1"/>
  <c r="E14" i="1" s="1"/>
  <c r="B14" i="1"/>
  <c r="AB13" i="1"/>
  <c r="AB69" i="1" s="1"/>
  <c r="AA13" i="1"/>
  <c r="AA69" i="1" s="1"/>
  <c r="W13" i="1"/>
  <c r="W69" i="1" s="1"/>
  <c r="V13" i="1"/>
  <c r="V69" i="1" s="1"/>
  <c r="R13" i="1"/>
  <c r="R69" i="1" s="1"/>
  <c r="Q13" i="1"/>
  <c r="Q69" i="1" s="1"/>
  <c r="M13" i="1"/>
  <c r="M69" i="1" s="1"/>
  <c r="L13" i="1"/>
  <c r="L69" i="1" s="1"/>
  <c r="H13" i="1"/>
  <c r="H69" i="1" s="1"/>
  <c r="G13" i="1"/>
  <c r="G69" i="1" s="1"/>
  <c r="C13" i="1"/>
  <c r="C69" i="1" s="1"/>
  <c r="B13" i="1"/>
  <c r="B69" i="1" s="1"/>
  <c r="AG9" i="1"/>
  <c r="AF9" i="1"/>
  <c r="AB9" i="1"/>
  <c r="AA9" i="1"/>
  <c r="W9" i="1"/>
  <c r="V9" i="1"/>
  <c r="R9" i="1"/>
  <c r="Q9" i="1"/>
  <c r="M9" i="1"/>
  <c r="L9" i="1"/>
  <c r="H9" i="1"/>
  <c r="G9" i="1"/>
  <c r="C9" i="1"/>
  <c r="B9" i="1"/>
  <c r="A3" i="1"/>
  <c r="A2" i="1"/>
  <c r="AG76" i="1" l="1"/>
  <c r="AA21" i="1"/>
  <c r="AC19" i="1"/>
  <c r="AD19" i="1" s="1"/>
  <c r="G25" i="1"/>
  <c r="J25" i="1" s="1"/>
  <c r="I21" i="1"/>
  <c r="J21" i="1" s="1"/>
  <c r="G26" i="1"/>
  <c r="D21" i="1"/>
  <c r="E21" i="1" s="1"/>
  <c r="B26" i="1"/>
  <c r="AH16" i="1"/>
  <c r="AI16" i="1" s="1"/>
  <c r="AG14" i="1"/>
  <c r="AH14" i="1" s="1"/>
  <c r="AI14" i="1" s="1"/>
  <c r="AG15" i="1"/>
  <c r="AH15" i="1" s="1"/>
  <c r="AI15" i="1" s="1"/>
  <c r="AF20" i="1"/>
  <c r="AH20" i="1" s="1"/>
  <c r="AI20" i="1" s="1"/>
  <c r="B70" i="1"/>
  <c r="D70" i="1" s="1"/>
  <c r="E70" i="1" s="1"/>
  <c r="B23" i="1"/>
  <c r="E23" i="1" s="1"/>
  <c r="H76" i="1"/>
  <c r="I24" i="1"/>
  <c r="J24" i="1" s="1"/>
  <c r="AB76" i="1"/>
  <c r="AC24" i="1"/>
  <c r="AG27" i="1"/>
  <c r="AF28" i="1"/>
  <c r="AH28" i="1" s="1"/>
  <c r="AI28" i="1" s="1"/>
  <c r="Y31" i="1"/>
  <c r="X31" i="1"/>
  <c r="AF31" i="1"/>
  <c r="AH31" i="1" s="1"/>
  <c r="AI31" i="1" s="1"/>
  <c r="AC52" i="1"/>
  <c r="AD52" i="1" s="1"/>
  <c r="AG52" i="1"/>
  <c r="AH52" i="1" s="1"/>
  <c r="AI52" i="1" s="1"/>
  <c r="AG53" i="1"/>
  <c r="AH53" i="1" s="1"/>
  <c r="AI53" i="1" s="1"/>
  <c r="AG13" i="1"/>
  <c r="AG16" i="1"/>
  <c r="H70" i="1"/>
  <c r="I70" i="1" s="1"/>
  <c r="J70" i="1" s="1"/>
  <c r="AG22" i="1"/>
  <c r="D13" i="1"/>
  <c r="E13" i="1" s="1"/>
  <c r="N13" i="1"/>
  <c r="O13" i="1" s="1"/>
  <c r="X13" i="1"/>
  <c r="Y13" i="1" s="1"/>
  <c r="L93" i="1"/>
  <c r="N37" i="1"/>
  <c r="O37" i="1" s="1"/>
  <c r="AA93" i="1"/>
  <c r="AC37" i="1"/>
  <c r="AD37" i="1" s="1"/>
  <c r="I38" i="1"/>
  <c r="AF38" i="1"/>
  <c r="V50" i="1"/>
  <c r="X50" i="1" s="1"/>
  <c r="Y50" i="1" s="1"/>
  <c r="O72" i="1"/>
  <c r="AF72" i="1"/>
  <c r="I19" i="1"/>
  <c r="J19" i="1" s="1"/>
  <c r="Q19" i="1"/>
  <c r="D22" i="1"/>
  <c r="E22" i="1" s="1"/>
  <c r="X22" i="1"/>
  <c r="Y22" i="1" s="1"/>
  <c r="AF22" i="1"/>
  <c r="N76" i="1"/>
  <c r="O76" i="1" s="1"/>
  <c r="R76" i="1"/>
  <c r="S76" i="1" s="1"/>
  <c r="T76" i="1" s="1"/>
  <c r="S24" i="1"/>
  <c r="T24" i="1" s="1"/>
  <c r="J31" i="1"/>
  <c r="I31" i="1"/>
  <c r="T31" i="1"/>
  <c r="S31" i="1"/>
  <c r="AD31" i="1"/>
  <c r="AC31" i="1"/>
  <c r="G93" i="1"/>
  <c r="I37" i="1"/>
  <c r="J37" i="1" s="1"/>
  <c r="L47" i="1"/>
  <c r="N47" i="1" s="1"/>
  <c r="O47" i="1" s="1"/>
  <c r="AA47" i="1"/>
  <c r="AC47" i="1" s="1"/>
  <c r="AD47" i="1" s="1"/>
  <c r="I76" i="1"/>
  <c r="J76" i="1" s="1"/>
  <c r="I13" i="1"/>
  <c r="J13" i="1" s="1"/>
  <c r="S13" i="1"/>
  <c r="T13" i="1" s="1"/>
  <c r="AC13" i="1"/>
  <c r="AD13" i="1" s="1"/>
  <c r="V19" i="1"/>
  <c r="I22" i="1"/>
  <c r="J22" i="1" s="1"/>
  <c r="Q70" i="1"/>
  <c r="S70" i="1" s="1"/>
  <c r="T70" i="1" s="1"/>
  <c r="C76" i="1"/>
  <c r="D76" i="1" s="1"/>
  <c r="E76" i="1" s="1"/>
  <c r="D24" i="1"/>
  <c r="E24" i="1" s="1"/>
  <c r="W76" i="1"/>
  <c r="X76" i="1" s="1"/>
  <c r="Y76" i="1" s="1"/>
  <c r="X24" i="1"/>
  <c r="AG60" i="1"/>
  <c r="D69" i="1"/>
  <c r="E69" i="1" s="1"/>
  <c r="I69" i="1"/>
  <c r="J69" i="1" s="1"/>
  <c r="N69" i="1"/>
  <c r="O69" i="1" s="1"/>
  <c r="S69" i="1"/>
  <c r="T69" i="1" s="1"/>
  <c r="X69" i="1"/>
  <c r="Y69" i="1" s="1"/>
  <c r="AC69" i="1"/>
  <c r="AD69" i="1" s="1"/>
  <c r="AF13" i="1"/>
  <c r="D19" i="1"/>
  <c r="E19" i="1" s="1"/>
  <c r="L19" i="1"/>
  <c r="S22" i="1"/>
  <c r="T22" i="1" s="1"/>
  <c r="G23" i="1"/>
  <c r="J23" i="1" s="1"/>
  <c r="M76" i="1"/>
  <c r="N24" i="1"/>
  <c r="O24" i="1" s="1"/>
  <c r="AF27" i="1"/>
  <c r="S37" i="1"/>
  <c r="T37" i="1" s="1"/>
  <c r="Q93" i="1"/>
  <c r="N38" i="1"/>
  <c r="AG47" i="1"/>
  <c r="AF46" i="1"/>
  <c r="V47" i="1"/>
  <c r="X47" i="1" s="1"/>
  <c r="Y47" i="1" s="1"/>
  <c r="AH49" i="1"/>
  <c r="AI49" i="1" s="1"/>
  <c r="S28" i="1"/>
  <c r="T28" i="1" s="1"/>
  <c r="AC28" i="1"/>
  <c r="AD28" i="1" s="1"/>
  <c r="V93" i="1"/>
  <c r="X37" i="1"/>
  <c r="Y37" i="1" s="1"/>
  <c r="AG38" i="1"/>
  <c r="Q47" i="1"/>
  <c r="S47" i="1" s="1"/>
  <c r="T47" i="1" s="1"/>
  <c r="B50" i="1"/>
  <c r="D50" i="1" s="1"/>
  <c r="E50" i="1" s="1"/>
  <c r="G50" i="1"/>
  <c r="I50" i="1" s="1"/>
  <c r="J50" i="1" s="1"/>
  <c r="L50" i="1"/>
  <c r="N50" i="1" s="1"/>
  <c r="O50" i="1" s="1"/>
  <c r="Q50" i="1"/>
  <c r="S50" i="1" s="1"/>
  <c r="AF51" i="1"/>
  <c r="AH51" i="1" s="1"/>
  <c r="AI51" i="1" s="1"/>
  <c r="AC51" i="1"/>
  <c r="AD51" i="1" s="1"/>
  <c r="AC76" i="1"/>
  <c r="AD76" i="1" s="1"/>
  <c r="T72" i="1"/>
  <c r="AG57" i="1"/>
  <c r="AH57" i="1" s="1"/>
  <c r="AI57" i="1" s="1"/>
  <c r="AG58" i="1"/>
  <c r="AH58" i="1" s="1"/>
  <c r="AI58" i="1" s="1"/>
  <c r="AF60" i="1"/>
  <c r="I60" i="1"/>
  <c r="J60" i="1" s="1"/>
  <c r="S60" i="1"/>
  <c r="T60" i="1" s="1"/>
  <c r="E68" i="1"/>
  <c r="AH73" i="1"/>
  <c r="AI73" i="1" s="1"/>
  <c r="AF68" i="1"/>
  <c r="AI68" i="1" s="1"/>
  <c r="AH65" i="1"/>
  <c r="AI65" i="1" s="1"/>
  <c r="AG72" i="1"/>
  <c r="AF24" i="1"/>
  <c r="B25" i="1"/>
  <c r="E25" i="1" s="1"/>
  <c r="AH61" i="1"/>
  <c r="AI61" i="1" s="1"/>
  <c r="AI72" i="1" l="1"/>
  <c r="AG70" i="1"/>
  <c r="AA70" i="1"/>
  <c r="AC70" i="1" s="1"/>
  <c r="AD70" i="1" s="1"/>
  <c r="AA26" i="1"/>
  <c r="AA25" i="1"/>
  <c r="AD25" i="1" s="1"/>
  <c r="AC21" i="1"/>
  <c r="AD21" i="1" s="1"/>
  <c r="AA23" i="1"/>
  <c r="AD23" i="1" s="1"/>
  <c r="S19" i="1"/>
  <c r="T19" i="1" s="1"/>
  <c r="Q21" i="1"/>
  <c r="AH46" i="1"/>
  <c r="AI46" i="1" s="1"/>
  <c r="AF47" i="1"/>
  <c r="AH47" i="1" s="1"/>
  <c r="AI47" i="1" s="1"/>
  <c r="V21" i="1"/>
  <c r="X19" i="1"/>
  <c r="Y19" i="1" s="1"/>
  <c r="G29" i="1"/>
  <c r="I26" i="1"/>
  <c r="J26" i="1" s="1"/>
  <c r="AH27" i="1"/>
  <c r="AI27" i="1" s="1"/>
  <c r="AF69" i="1"/>
  <c r="AF19" i="1"/>
  <c r="AH13" i="1"/>
  <c r="AI13" i="1" s="1"/>
  <c r="B29" i="1"/>
  <c r="D26" i="1"/>
  <c r="E26" i="1" s="1"/>
  <c r="AF76" i="1"/>
  <c r="AH76" i="1" s="1"/>
  <c r="AI76" i="1" s="1"/>
  <c r="AH24" i="1"/>
  <c r="AI24" i="1" s="1"/>
  <c r="AH60" i="1"/>
  <c r="AI60" i="1" s="1"/>
  <c r="L21" i="1"/>
  <c r="N19" i="1"/>
  <c r="O19" i="1" s="1"/>
  <c r="AF70" i="1"/>
  <c r="AH70" i="1" s="1"/>
  <c r="AI70" i="1" s="1"/>
  <c r="AH22" i="1"/>
  <c r="AI22" i="1" s="1"/>
  <c r="AF50" i="1"/>
  <c r="AH38" i="1"/>
  <c r="AI38" i="1" s="1"/>
  <c r="AG69" i="1"/>
  <c r="AG19" i="1"/>
  <c r="AG21" i="1" s="1"/>
  <c r="AG50" i="1"/>
  <c r="AG26" i="1" l="1"/>
  <c r="AG29" i="1" s="1"/>
  <c r="AG25" i="1"/>
  <c r="AH50" i="1"/>
  <c r="AI50" i="1" s="1"/>
  <c r="L26" i="1"/>
  <c r="N21" i="1"/>
  <c r="O21" i="1" s="1"/>
  <c r="L25" i="1"/>
  <c r="O25" i="1" s="1"/>
  <c r="L23" i="1"/>
  <c r="O23" i="1" s="1"/>
  <c r="AF21" i="1"/>
  <c r="AH19" i="1"/>
  <c r="AI19" i="1" s="1"/>
  <c r="G30" i="1"/>
  <c r="J30" i="1" s="1"/>
  <c r="I29" i="1"/>
  <c r="J29" i="1" s="1"/>
  <c r="G32" i="1"/>
  <c r="AG23" i="1"/>
  <c r="AH69" i="1"/>
  <c r="AI69" i="1" s="1"/>
  <c r="Q25" i="1"/>
  <c r="T25" i="1" s="1"/>
  <c r="S21" i="1"/>
  <c r="T21" i="1" s="1"/>
  <c r="Q26" i="1"/>
  <c r="Q23" i="1"/>
  <c r="T23" i="1" s="1"/>
  <c r="D29" i="1"/>
  <c r="E29" i="1" s="1"/>
  <c r="B32" i="1"/>
  <c r="B30" i="1"/>
  <c r="E30" i="1" s="1"/>
  <c r="X21" i="1"/>
  <c r="Y21" i="1" s="1"/>
  <c r="V26" i="1"/>
  <c r="V25" i="1"/>
  <c r="Y25" i="1" s="1"/>
  <c r="V23" i="1"/>
  <c r="Y23" i="1" s="1"/>
  <c r="AA29" i="1"/>
  <c r="AC26" i="1"/>
  <c r="AD26" i="1" s="1"/>
  <c r="AA30" i="1" l="1"/>
  <c r="AD30" i="1" s="1"/>
  <c r="AC29" i="1"/>
  <c r="AD29" i="1" s="1"/>
  <c r="AA32" i="1"/>
  <c r="S26" i="1"/>
  <c r="T26" i="1" s="1"/>
  <c r="Q29" i="1"/>
  <c r="AG30" i="1"/>
  <c r="AG32" i="1"/>
  <c r="AG33" i="1" s="1"/>
  <c r="B81" i="1"/>
  <c r="D32" i="1"/>
  <c r="E32" i="1" s="1"/>
  <c r="B33" i="1"/>
  <c r="E33" i="1" s="1"/>
  <c r="G33" i="1"/>
  <c r="J33" i="1" s="1"/>
  <c r="G81" i="1"/>
  <c r="I32" i="1"/>
  <c r="J32" i="1" s="1"/>
  <c r="AF26" i="1"/>
  <c r="AH21" i="1"/>
  <c r="AI21" i="1" s="1"/>
  <c r="AF23" i="1"/>
  <c r="AI23" i="1" s="1"/>
  <c r="AF25" i="1"/>
  <c r="AI25" i="1" s="1"/>
  <c r="L29" i="1"/>
  <c r="N26" i="1"/>
  <c r="O26" i="1" s="1"/>
  <c r="V29" i="1"/>
  <c r="X26" i="1"/>
  <c r="Y26" i="1" s="1"/>
  <c r="S29" i="1" l="1"/>
  <c r="T29" i="1" s="1"/>
  <c r="Q30" i="1"/>
  <c r="T30" i="1" s="1"/>
  <c r="Q32" i="1"/>
  <c r="X29" i="1"/>
  <c r="Y29" i="1" s="1"/>
  <c r="V30" i="1"/>
  <c r="Y30" i="1" s="1"/>
  <c r="V32" i="1"/>
  <c r="AA33" i="1"/>
  <c r="AD33" i="1" s="1"/>
  <c r="AC32" i="1"/>
  <c r="AD32" i="1" s="1"/>
  <c r="AA81" i="1"/>
  <c r="L30" i="1"/>
  <c r="O30" i="1" s="1"/>
  <c r="N29" i="1"/>
  <c r="O29" i="1" s="1"/>
  <c r="L32" i="1"/>
  <c r="AF29" i="1"/>
  <c r="AH26" i="1"/>
  <c r="AI26" i="1" s="1"/>
  <c r="Q81" i="1" l="1"/>
  <c r="S32" i="1"/>
  <c r="T32" i="1" s="1"/>
  <c r="Q33" i="1"/>
  <c r="T33" i="1" s="1"/>
  <c r="AF30" i="1"/>
  <c r="AI30" i="1" s="1"/>
  <c r="AH29" i="1"/>
  <c r="AI29" i="1" s="1"/>
  <c r="AF32" i="1"/>
  <c r="L81" i="1"/>
  <c r="L33" i="1"/>
  <c r="O33" i="1" s="1"/>
  <c r="N32" i="1"/>
  <c r="O32" i="1" s="1"/>
  <c r="V81" i="1"/>
  <c r="X32" i="1"/>
  <c r="Y32" i="1" s="1"/>
  <c r="V33" i="1"/>
  <c r="Y33" i="1" s="1"/>
  <c r="AF33" i="1" l="1"/>
  <c r="AI33" i="1" s="1"/>
  <c r="AH32" i="1"/>
  <c r="AI32" i="1" s="1"/>
</calcChain>
</file>

<file path=xl/sharedStrings.xml><?xml version="1.0" encoding="utf-8"?>
<sst xmlns="http://schemas.openxmlformats.org/spreadsheetml/2006/main" count="104" uniqueCount="77">
  <si>
    <t>REGION  I</t>
  </si>
  <si>
    <t>(In Thousand)</t>
  </si>
  <si>
    <t>CENPELCO</t>
  </si>
  <si>
    <t>INEC</t>
  </si>
  <si>
    <t>ISECO</t>
  </si>
  <si>
    <t>LUELCO</t>
  </si>
  <si>
    <t>PANELCO  I</t>
  </si>
  <si>
    <t>PANELCO III</t>
  </si>
  <si>
    <t>T O T A L</t>
  </si>
  <si>
    <t>Inc. / (Dec.)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</si>
  <si>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</si>
  <si>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</si>
  <si>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</si>
  <si>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</si>
  <si>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</si>
  <si>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Universal Charge/FIT-All</t>
  </si>
  <si>
    <t xml:space="preserve">            Value Added Tax</t>
  </si>
  <si>
    <t xml:space="preserve">            Other Taxes</t>
  </si>
  <si>
    <t xml:space="preserve">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</si>
  <si>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</si>
  <si>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</si>
  <si>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</si>
  <si>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</si>
  <si>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</si>
  <si>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</si>
  <si>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</si>
  <si>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</si>
  <si>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</si>
  <si>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</si>
  <si>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</si>
  <si>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</si>
  <si>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</si>
  <si>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 General Fund</t>
  </si>
  <si>
    <t xml:space="preserve">  Sinking Fund-Loan Fund  </t>
  </si>
  <si>
    <t xml:space="preserve">  Sinking Fund-RF/RFSC</t>
  </si>
  <si>
    <t xml:space="preserve">  A/R - Energy Sales</t>
  </si>
  <si>
    <t xml:space="preserve">            Energy</t>
  </si>
  <si>
    <t xml:space="preserve">            RFSC</t>
  </si>
  <si>
    <t xml:space="preserve">            UC</t>
  </si>
  <si>
    <t xml:space="preserve">            VAT</t>
  </si>
  <si>
    <t xml:space="preserve">            FRANCHISE, BUSINESS, RPT &amp; OTHER TAXES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</si>
  <si>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</si>
  <si>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</si>
  <si>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</si>
  <si>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</si>
  <si>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</si>
  <si>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</si>
  <si>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</si>
  <si>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</si>
  <si>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</si>
  <si>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</si>
  <si>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</si>
  <si>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</si>
  <si>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</si>
  <si>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</si>
  <si>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</si>
  <si>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</si>
  <si>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</si>
  <si>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</si>
  <si>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(%)</t>
  </si>
  <si>
    <t xml:space="preserve"> </t>
  </si>
  <si>
    <t xml:space="preserve">  Average Systems Rate (P)</t>
  </si>
  <si>
    <t xml:space="preserve">  Average Power Cost (P)</t>
  </si>
  <si>
    <t xml:space="preserve">  Average Collection Period</t>
  </si>
  <si>
    <t xml:space="preserve"> 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</si>
  <si>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</si>
  <si>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</si>
  <si>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</si>
  <si>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</si>
  <si>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</si>
  <si>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</si>
  <si>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AA - Mega Large</t>
  </si>
  <si>
    <t>AAA - Mega Large</t>
  </si>
  <si>
    <t>KPS</t>
  </si>
  <si>
    <t>checking (KPS vs FP) - should be zero</t>
  </si>
  <si>
    <t>Pls Don't Delete</t>
  </si>
  <si>
    <t>Cash 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</si>
</sst>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000"/>
    <numFmt numFmtId="165" formatCode="0.00000000"/>
    <numFmt numFmtId="166" formatCode="_(* #,##0_);_(* \(#,##0\);_(* &quot;-&quot;??_);_(@_)"/>
    <numFmt numFmtId="167" formatCode="0_)"/>
    <numFmt numFmtId="168" formatCode="0.00_)"/>
  </numFmts>
  <fonts count="11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left"/>
    </xf>
    <xf numFmtId="166" fontId="2" fillId="0" borderId="0" xfId="1" applyNumberFormat="1" applyFont="1" applyFill="1"/>
    <xf numFmtId="43" fontId="2" fillId="0" borderId="0" xfId="1" applyFont="1" applyFill="1"/>
    <xf numFmtId="167" fontId="2" fillId="0" borderId="0" xfId="0" applyNumberFormat="1" applyFont="1"/>
    <xf numFmtId="3" fontId="2" fillId="0" borderId="0" xfId="0" applyNumberFormat="1" applyFont="1" applyAlignment="1">
      <alignment horizontal="left"/>
    </xf>
    <xf numFmtId="166" fontId="6" fillId="0" borderId="0" xfId="1" applyNumberFormat="1" applyFont="1" applyFill="1" applyBorder="1" applyAlignment="1">
      <alignment horizontal="right" vertical="center" wrapText="1" readingOrder="1"/>
    </xf>
    <xf numFmtId="168" fontId="2" fillId="0" borderId="0" xfId="0" applyNumberFormat="1" applyFont="1"/>
    <xf numFmtId="166" fontId="2" fillId="0" borderId="0" xfId="1" applyNumberFormat="1" applyFont="1" applyFill="1" applyAlignment="1">
      <alignment horizontal="right"/>
    </xf>
    <xf numFmtId="43" fontId="2" fillId="0" borderId="0" xfId="1" applyFont="1" applyFill="1" applyAlignment="1">
      <alignment horizontal="left"/>
    </xf>
    <xf numFmtId="39" fontId="2" fillId="0" borderId="0" xfId="0" applyNumberFormat="1" applyFont="1"/>
    <xf numFmtId="37" fontId="2" fillId="0" borderId="0" xfId="0" applyNumberFormat="1" applyFont="1"/>
    <xf numFmtId="166" fontId="2" fillId="0" borderId="0" xfId="0" applyNumberFormat="1" applyFont="1"/>
    <xf numFmtId="43" fontId="2" fillId="0" borderId="0" xfId="1" applyFont="1" applyFill="1" applyAlignment="1">
      <alignment horizontal="right"/>
    </xf>
    <xf numFmtId="0" fontId="7" fillId="0" borderId="0" xfId="0" applyFont="1" applyAlignment="1">
      <alignment horizontal="left"/>
    </xf>
    <xf numFmtId="43" fontId="7" fillId="0" borderId="0" xfId="1" applyFont="1" applyFill="1"/>
    <xf numFmtId="43" fontId="7" fillId="0" borderId="0" xfId="1" applyFont="1" applyFill="1" applyAlignment="1">
      <alignment horizontal="right"/>
    </xf>
    <xf numFmtId="0" fontId="7" fillId="0" borderId="0" xfId="0" applyFont="1"/>
    <xf numFmtId="43" fontId="2" fillId="0" borderId="0" xfId="1" applyFont="1" applyFill="1" applyAlignment="1">
      <alignment horizontal="center"/>
    </xf>
    <xf numFmtId="0" fontId="8" fillId="0" borderId="0" xfId="0" applyFont="1"/>
    <xf numFmtId="43" fontId="8" fillId="0" borderId="0" xfId="1" applyFont="1"/>
    <xf numFmtId="0" fontId="3" fillId="0" borderId="0" xfId="0" applyFont="1"/>
    <xf numFmtId="43" fontId="8" fillId="0" borderId="0" xfId="0" applyNumberFormat="1" applyFont="1"/>
    <xf numFmtId="0" fontId="9" fillId="0" borderId="0" xfId="0" applyFont="1"/>
    <xf numFmtId="2" fontId="2" fillId="0" borderId="0" xfId="2" applyNumberFormat="1" applyFont="1" applyAlignment="1">
      <alignment horizontal="center"/>
    </xf>
    <xf numFmtId="43" fontId="2" fillId="0" borderId="0" xfId="1" applyFont="1" applyAlignment="1"/>
    <xf numFmtId="43" fontId="10" fillId="0" borderId="0" xfId="0" applyNumberFormat="1" applyFont="1"/>
    <xf numFmtId="0" fontId="10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3\3rd%20Qtr_EC%20Loans%20to%20NEA%20092023_from%20Treasur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\CENPELCO_LI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\INEC_LIN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\ISECO_LIN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\LUELCO_LIN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\PANELCO%201_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\PANELCO%203_LIN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2">
          <cell r="B2" t="str">
            <v>Financial Profile as of September 30, 2024</v>
          </cell>
        </row>
        <row r="3">
          <cell r="B3" t="str">
            <v>With Comparative Figures as of September 30, 2023</v>
          </cell>
        </row>
        <row r="5">
          <cell r="B5" t="str">
            <v>September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rofile(mcso)"/>
      <sheetName val="nea-bit"/>
      <sheetName val="Sheet1"/>
      <sheetName val="NEA-BIT (2)"/>
      <sheetName val="EQA conso"/>
    </sheetNames>
    <sheetDataSet>
      <sheetData sheetId="0">
        <row r="16">
          <cell r="I16">
            <v>-0.58526318581675807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  <cell r="N4">
            <v>94.627656351511533</v>
          </cell>
          <cell r="P4">
            <v>-177075.40760999999</v>
          </cell>
          <cell r="S4">
            <v>188483.33166</v>
          </cell>
        </row>
        <row r="5">
          <cell r="A5" t="str">
            <v>INEC</v>
          </cell>
          <cell r="N5">
            <v>100</v>
          </cell>
          <cell r="P5">
            <v>-155654.51313000001</v>
          </cell>
          <cell r="S5">
            <v>301393.32936000003</v>
          </cell>
        </row>
        <row r="6">
          <cell r="A6" t="str">
            <v>ISECO</v>
          </cell>
          <cell r="N6">
            <v>97.80426432869011</v>
          </cell>
          <cell r="P6">
            <v>137037.83291999999</v>
          </cell>
          <cell r="S6">
            <v>224526.51402</v>
          </cell>
        </row>
        <row r="7">
          <cell r="A7" t="str">
            <v>LUELCO</v>
          </cell>
          <cell r="N7">
            <v>97.58334279737997</v>
          </cell>
          <cell r="P7">
            <v>83522.330680000014</v>
          </cell>
          <cell r="S7">
            <v>333357.02512000001</v>
          </cell>
        </row>
        <row r="8">
          <cell r="A8" t="str">
            <v>PANELCO I</v>
          </cell>
          <cell r="N8">
            <v>100</v>
          </cell>
          <cell r="P8">
            <v>-34825.942120000022</v>
          </cell>
          <cell r="S8">
            <v>124123.64706999999</v>
          </cell>
        </row>
        <row r="9">
          <cell r="A9" t="str">
            <v>PANELCO III</v>
          </cell>
          <cell r="N9">
            <v>96.924585991804207</v>
          </cell>
          <cell r="P9">
            <v>394457.92832000001</v>
          </cell>
          <cell r="S9">
            <v>567860.81352999993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CENPELCO"/>
    </sheetNames>
    <sheetDataSet>
      <sheetData sheetId="0">
        <row r="5">
          <cell r="U5">
            <v>5043293.4726999998</v>
          </cell>
        </row>
        <row r="6">
          <cell r="U6">
            <v>185979.07032</v>
          </cell>
        </row>
        <row r="7">
          <cell r="U7">
            <v>134995.22145000001</v>
          </cell>
        </row>
        <row r="10">
          <cell r="U10">
            <v>506676.93760000006</v>
          </cell>
        </row>
        <row r="11">
          <cell r="U11">
            <v>0</v>
          </cell>
        </row>
        <row r="12">
          <cell r="U12">
            <v>1069.3056200000001</v>
          </cell>
        </row>
        <row r="14">
          <cell r="U14">
            <v>81966.250319999992</v>
          </cell>
        </row>
        <row r="16">
          <cell r="U16">
            <v>4211071.0249899998</v>
          </cell>
        </row>
        <row r="18">
          <cell r="U18">
            <v>341105.70339000004</v>
          </cell>
        </row>
        <row r="21">
          <cell r="U21">
            <v>88099.046199999997</v>
          </cell>
        </row>
        <row r="22">
          <cell r="U22">
            <v>19317.892939999998</v>
          </cell>
        </row>
        <row r="25">
          <cell r="U25">
            <v>0</v>
          </cell>
        </row>
        <row r="31">
          <cell r="U31">
            <v>188483.33</v>
          </cell>
        </row>
        <row r="32">
          <cell r="U32">
            <v>87195.53</v>
          </cell>
        </row>
        <row r="33">
          <cell r="U33">
            <v>511.62</v>
          </cell>
        </row>
        <row r="35">
          <cell r="U35">
            <v>960445.19</v>
          </cell>
        </row>
        <row r="38">
          <cell r="U38">
            <v>1738017.93</v>
          </cell>
        </row>
        <row r="40">
          <cell r="U40">
            <v>498444.94369666674</v>
          </cell>
        </row>
        <row r="41">
          <cell r="U41">
            <v>784.02972</v>
          </cell>
        </row>
        <row r="42">
          <cell r="U42">
            <v>130555.84427999999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  <cell r="G13">
            <v>3456999.7646900001</v>
          </cell>
          <cell r="L13">
            <v>3368766.9299199996</v>
          </cell>
          <cell r="Q13">
            <v>2558320.89053</v>
          </cell>
          <cell r="V13">
            <v>1598957.5621799999</v>
          </cell>
          <cell r="AA13">
            <v>4719956.8542299997</v>
          </cell>
        </row>
        <row r="14">
          <cell r="B14">
            <v>160738.49101</v>
          </cell>
          <cell r="G14">
            <v>72408.624589999992</v>
          </cell>
          <cell r="L14">
            <v>74211.744160000002</v>
          </cell>
          <cell r="Q14">
            <v>66146.589300000007</v>
          </cell>
          <cell r="V14">
            <v>30678.10253</v>
          </cell>
          <cell r="AA14">
            <v>107430.34396</v>
          </cell>
        </row>
        <row r="15">
          <cell r="B15">
            <v>89717.764580000003</v>
          </cell>
          <cell r="G15">
            <v>64177.779429999995</v>
          </cell>
          <cell r="L15">
            <v>64989.93922</v>
          </cell>
          <cell r="Q15">
            <v>51236.669419999998</v>
          </cell>
          <cell r="V15">
            <v>29937.80601</v>
          </cell>
          <cell r="AA15">
            <v>89812.333199999994</v>
          </cell>
        </row>
        <row r="16">
          <cell r="B16">
            <v>576771.61827999994</v>
          </cell>
          <cell r="G16">
            <v>340809.66034</v>
          </cell>
          <cell r="L16">
            <v>340782.56195</v>
          </cell>
          <cell r="Q16">
            <v>259731.58429999999</v>
          </cell>
          <cell r="V16">
            <v>162696.05327</v>
          </cell>
          <cell r="AA16">
            <v>465255.88934999995</v>
          </cell>
        </row>
        <row r="17">
          <cell r="B17">
            <v>0</v>
          </cell>
          <cell r="G17">
            <v>1604.1616800000002</v>
          </cell>
          <cell r="L17">
            <v>667.27958999999998</v>
          </cell>
          <cell r="Q17">
            <v>0</v>
          </cell>
          <cell r="V17">
            <v>0</v>
          </cell>
          <cell r="AA17">
            <v>0</v>
          </cell>
        </row>
        <row r="18">
          <cell r="B18">
            <v>11054.416569999999</v>
          </cell>
          <cell r="G18">
            <v>-0.88516000000000006</v>
          </cell>
          <cell r="L18">
            <v>21.544060000000002</v>
          </cell>
          <cell r="Q18">
            <v>0</v>
          </cell>
          <cell r="V18">
            <v>0</v>
          </cell>
          <cell r="AA18">
            <v>0</v>
          </cell>
        </row>
        <row r="19">
          <cell r="B19">
            <v>4663434.4812199995</v>
          </cell>
          <cell r="G19">
            <v>2978000.4238100001</v>
          </cell>
          <cell r="L19">
            <v>2888093.8609399996</v>
          </cell>
          <cell r="Q19">
            <v>2181206.0475099999</v>
          </cell>
          <cell r="V19">
            <v>1375645.6003699999</v>
          </cell>
          <cell r="AA19">
            <v>4057458.2877199994</v>
          </cell>
        </row>
        <row r="20">
          <cell r="B20">
            <v>79731.740440000009</v>
          </cell>
          <cell r="G20">
            <v>33500.106639999998</v>
          </cell>
          <cell r="L20">
            <v>98394.211909999998</v>
          </cell>
          <cell r="Q20">
            <v>60834.154760000005</v>
          </cell>
          <cell r="V20">
            <v>50745.81381</v>
          </cell>
          <cell r="AA20">
            <v>84952.792969999995</v>
          </cell>
        </row>
        <row r="21">
          <cell r="B21">
            <v>4743166.2216599993</v>
          </cell>
          <cell r="G21">
            <v>3011500.53045</v>
          </cell>
          <cell r="L21">
            <v>2986488.0728499996</v>
          </cell>
          <cell r="Q21">
            <v>2242040.2022699998</v>
          </cell>
          <cell r="V21">
            <v>1426391.4141799998</v>
          </cell>
          <cell r="AA21">
            <v>4142411.0806899993</v>
          </cell>
        </row>
        <row r="22">
          <cell r="B22">
            <v>4402244.8507000003</v>
          </cell>
          <cell r="G22">
            <v>2639337.8332799999</v>
          </cell>
          <cell r="L22">
            <v>2578766.3223999999</v>
          </cell>
          <cell r="Q22">
            <v>1958915.5019</v>
          </cell>
          <cell r="V22">
            <v>1240667.2469500001</v>
          </cell>
          <cell r="AA22">
            <v>3478162.9057600005</v>
          </cell>
        </row>
        <row r="23">
          <cell r="B23">
            <v>93</v>
          </cell>
          <cell r="G23">
            <v>88</v>
          </cell>
          <cell r="L23">
            <v>86</v>
          </cell>
          <cell r="Q23">
            <v>87</v>
          </cell>
          <cell r="V23">
            <v>87</v>
          </cell>
          <cell r="AA23">
            <v>84</v>
          </cell>
        </row>
        <row r="24">
          <cell r="B24">
            <v>313487.43112999998</v>
          </cell>
          <cell r="G24">
            <v>162010.91042000003</v>
          </cell>
          <cell r="L24">
            <v>290311.92430000001</v>
          </cell>
          <cell r="Q24">
            <v>224875.25296999997</v>
          </cell>
          <cell r="V24">
            <v>142020.80275999999</v>
          </cell>
          <cell r="AA24">
            <v>311714.98350999999</v>
          </cell>
        </row>
        <row r="25">
          <cell r="B25">
            <v>7</v>
          </cell>
          <cell r="G25">
            <v>5</v>
          </cell>
          <cell r="L25">
            <v>10</v>
          </cell>
          <cell r="Q25">
            <v>10</v>
          </cell>
          <cell r="V25">
            <v>10</v>
          </cell>
          <cell r="AA25">
            <v>8</v>
          </cell>
        </row>
        <row r="26">
          <cell r="B26">
            <v>27433.939829999057</v>
          </cell>
          <cell r="G26">
            <v>210151.78675000003</v>
          </cell>
          <cell r="L26">
            <v>117409.82614999969</v>
          </cell>
          <cell r="Q26">
            <v>58249.447399999772</v>
          </cell>
          <cell r="V26">
            <v>43703.364469999797</v>
          </cell>
          <cell r="AA26">
            <v>352533.19141999882</v>
          </cell>
        </row>
        <row r="27">
          <cell r="B27">
            <v>93084.216889999996</v>
          </cell>
          <cell r="G27">
            <v>59979.031470000002</v>
          </cell>
          <cell r="L27">
            <v>43146.217139999993</v>
          </cell>
          <cell r="Q27">
            <v>63286.412839999997</v>
          </cell>
          <cell r="V27">
            <v>45268.432809999998</v>
          </cell>
          <cell r="AA27">
            <v>79928.162320000003</v>
          </cell>
        </row>
        <row r="28">
          <cell r="B28">
            <v>14348.172490000001</v>
          </cell>
          <cell r="G28">
            <v>10765.1931</v>
          </cell>
          <cell r="L28">
            <v>1617.8204300000002</v>
          </cell>
          <cell r="Q28">
            <v>15518.487669999999</v>
          </cell>
          <cell r="V28">
            <v>16980.768920000002</v>
          </cell>
          <cell r="AA28">
            <v>3289.7838399999996</v>
          </cell>
        </row>
        <row r="29">
          <cell r="B29">
            <v>-79998.449550000936</v>
          </cell>
          <cell r="G29">
            <v>139407.56218000004</v>
          </cell>
          <cell r="L29">
            <v>72645.788579999687</v>
          </cell>
          <cell r="Q29">
            <v>-20555.453110000224</v>
          </cell>
          <cell r="V29">
            <v>-18545.837260000204</v>
          </cell>
          <cell r="AA29">
            <v>269315.24525999883</v>
          </cell>
        </row>
        <row r="30">
          <cell r="B30">
            <v>-2</v>
          </cell>
          <cell r="G30">
            <v>5</v>
          </cell>
          <cell r="L30">
            <v>2</v>
          </cell>
          <cell r="Q30">
            <v>-1</v>
          </cell>
          <cell r="V30">
            <v>-1</v>
          </cell>
          <cell r="AA30">
            <v>7</v>
          </cell>
        </row>
        <row r="31">
          <cell r="B31">
            <v>0</v>
          </cell>
          <cell r="G31">
            <v>7517.8861000000006</v>
          </cell>
          <cell r="L31">
            <v>14541.37947</v>
          </cell>
          <cell r="Q31">
            <v>0</v>
          </cell>
          <cell r="V31">
            <v>142.81399999999999</v>
          </cell>
          <cell r="AA31">
            <v>0</v>
          </cell>
        </row>
        <row r="32">
          <cell r="B32">
            <v>-79998.449550000936</v>
          </cell>
          <cell r="G32">
            <v>131889.67608000003</v>
          </cell>
          <cell r="L32">
            <v>58104.409109999688</v>
          </cell>
          <cell r="Q32">
            <v>-20555.453110000224</v>
          </cell>
          <cell r="V32">
            <v>-18688.651260000202</v>
          </cell>
          <cell r="AA32">
            <v>269315.24525999883</v>
          </cell>
        </row>
        <row r="33">
          <cell r="B33">
            <v>-2</v>
          </cell>
          <cell r="G33">
            <v>4</v>
          </cell>
          <cell r="L33">
            <v>2</v>
          </cell>
          <cell r="Q33">
            <v>-1</v>
          </cell>
          <cell r="V33">
            <v>-1</v>
          </cell>
          <cell r="AA33">
            <v>7</v>
          </cell>
        </row>
        <row r="37">
          <cell r="B37">
            <v>167771.82</v>
          </cell>
          <cell r="G37">
            <v>294004.58</v>
          </cell>
          <cell r="L37">
            <v>421068.37</v>
          </cell>
          <cell r="Q37">
            <v>289493.7</v>
          </cell>
          <cell r="V37">
            <v>93389.21</v>
          </cell>
          <cell r="AA37">
            <v>500965.42</v>
          </cell>
        </row>
        <row r="38">
          <cell r="B38">
            <v>646.79</v>
          </cell>
          <cell r="G38">
            <v>0</v>
          </cell>
          <cell r="L38">
            <v>0</v>
          </cell>
          <cell r="Q38">
            <v>21003.84</v>
          </cell>
          <cell r="V38">
            <v>638.33000000000004</v>
          </cell>
          <cell r="AA38">
            <v>0</v>
          </cell>
        </row>
        <row r="39">
          <cell r="B39">
            <v>-2809.14</v>
          </cell>
          <cell r="G39">
            <v>14916.85</v>
          </cell>
          <cell r="L39">
            <v>160.51</v>
          </cell>
          <cell r="Q39">
            <v>46825.65</v>
          </cell>
          <cell r="V39">
            <v>42405.03</v>
          </cell>
          <cell r="AA39">
            <v>6939.11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B46">
            <v>1061200.48</v>
          </cell>
          <cell r="G46">
            <v>122430.53</v>
          </cell>
          <cell r="L46">
            <v>331987.40000000002</v>
          </cell>
          <cell r="Q46">
            <v>296916.46999999997</v>
          </cell>
          <cell r="V46">
            <v>59616.26</v>
          </cell>
          <cell r="AA46">
            <v>690877.25</v>
          </cell>
        </row>
        <row r="47">
          <cell r="B47">
            <v>1.7359680107848032</v>
          </cell>
          <cell r="G47">
            <v>0.31873729968240494</v>
          </cell>
          <cell r="L47">
            <v>0.88693776154794879</v>
          </cell>
          <cell r="Q47">
            <v>1.0445320756640493</v>
          </cell>
          <cell r="V47">
            <v>0.33556008782902225</v>
          </cell>
          <cell r="AA47">
            <v>1.3173627306418185</v>
          </cell>
        </row>
        <row r="48">
          <cell r="L48">
            <v>0</v>
          </cell>
        </row>
        <row r="49">
          <cell r="B49">
            <v>714161.7</v>
          </cell>
          <cell r="G49">
            <v>392220.52997000003</v>
          </cell>
          <cell r="L49">
            <v>227976.61</v>
          </cell>
          <cell r="Q49">
            <v>178917.47</v>
          </cell>
          <cell r="V49">
            <v>96087.21</v>
          </cell>
          <cell r="AA49">
            <v>347829.78</v>
          </cell>
        </row>
        <row r="50">
          <cell r="B50">
            <v>1.4600403925687984</v>
          </cell>
          <cell r="G50">
            <v>1.3374509034878499</v>
          </cell>
          <cell r="L50">
            <v>0.79564769873776142</v>
          </cell>
          <cell r="Q50">
            <v>0.82201464455111617</v>
          </cell>
          <cell r="V50">
            <v>0.69703209472640459</v>
          </cell>
          <cell r="AA50">
            <v>0.90003490486768134</v>
          </cell>
        </row>
        <row r="51">
          <cell r="B51">
            <v>590790.29168111121</v>
          </cell>
          <cell r="G51">
            <v>280592.64100444445</v>
          </cell>
          <cell r="L51">
            <v>267955.5407177778</v>
          </cell>
          <cell r="Q51">
            <v>217585.16046111114</v>
          </cell>
          <cell r="V51">
            <v>154562.13703777778</v>
          </cell>
          <cell r="AA51">
            <v>439749.44975666667</v>
          </cell>
        </row>
        <row r="52">
          <cell r="B52">
            <v>1200.08275</v>
          </cell>
          <cell r="G52">
            <v>596.75380000000007</v>
          </cell>
          <cell r="L52">
            <v>10.333309999999999</v>
          </cell>
          <cell r="Q52">
            <v>36.423290000000001</v>
          </cell>
          <cell r="V52">
            <v>97.316360000000003</v>
          </cell>
          <cell r="AA52">
            <v>880.56844999999998</v>
          </cell>
        </row>
        <row r="53">
          <cell r="B53">
            <v>85372.742729999998</v>
          </cell>
          <cell r="G53">
            <v>62007.448810000002</v>
          </cell>
          <cell r="L53">
            <v>63067.319609999999</v>
          </cell>
          <cell r="Q53">
            <v>44293.638210000005</v>
          </cell>
          <cell r="V53">
            <v>30257.58023</v>
          </cell>
          <cell r="AA53">
            <v>100389.52185</v>
          </cell>
        </row>
        <row r="57">
          <cell r="B57">
            <v>1077844.4768099999</v>
          </cell>
          <cell r="G57">
            <v>419937.72243999998</v>
          </cell>
          <cell r="L57">
            <v>111691.55412999999</v>
          </cell>
          <cell r="Q57">
            <v>373390.32511999999</v>
          </cell>
          <cell r="V57">
            <v>11778.443720000001</v>
          </cell>
          <cell r="AA57">
            <v>17082.406729999999</v>
          </cell>
        </row>
        <row r="58">
          <cell r="B58">
            <v>1077847.4964099999</v>
          </cell>
          <cell r="G58">
            <v>419988.92633999995</v>
          </cell>
          <cell r="L58">
            <v>118641.83571</v>
          </cell>
          <cell r="Q58">
            <v>386276.35545999999</v>
          </cell>
          <cell r="V58">
            <v>11778.443720000001</v>
          </cell>
          <cell r="AA58">
            <v>17082.407639999987</v>
          </cell>
        </row>
        <row r="59">
          <cell r="B59">
            <v>-2.8621936596852376E-4</v>
          </cell>
          <cell r="G59">
            <v>-4.089064215456511E-3</v>
          </cell>
          <cell r="L59">
            <v>-2.0243381352377874</v>
          </cell>
          <cell r="Q59">
            <v>-1.7226942494954316</v>
          </cell>
          <cell r="V59">
            <v>0</v>
          </cell>
          <cell r="AA59">
            <v>0</v>
          </cell>
        </row>
        <row r="60">
          <cell r="B60">
            <v>-3.0195999999996275</v>
          </cell>
          <cell r="G60">
            <v>-51.203899999964051</v>
          </cell>
          <cell r="L60">
            <v>-6950.2815800000099</v>
          </cell>
          <cell r="Q60">
            <v>-12886.030339999998</v>
          </cell>
          <cell r="V60">
            <v>0</v>
          </cell>
          <cell r="AA60">
            <v>-9.0999998792540282E-4</v>
          </cell>
        </row>
        <row r="61">
          <cell r="B61">
            <v>163965.60116999998</v>
          </cell>
          <cell r="G61">
            <v>231718.37378999998</v>
          </cell>
          <cell r="L61">
            <v>19477.205879999998</v>
          </cell>
          <cell r="Q61">
            <v>135510.76431</v>
          </cell>
          <cell r="V61">
            <v>0</v>
          </cell>
          <cell r="AA61">
            <v>-9.1E-4</v>
          </cell>
        </row>
        <row r="62">
          <cell r="B62">
            <v>0</v>
          </cell>
        </row>
        <row r="71">
          <cell r="B71">
            <v>0</v>
          </cell>
          <cell r="G71">
            <v>0</v>
          </cell>
          <cell r="L71">
            <v>0</v>
          </cell>
          <cell r="Q71">
            <v>0</v>
          </cell>
          <cell r="V71">
            <v>0</v>
          </cell>
          <cell r="AA71">
            <v>0</v>
          </cell>
        </row>
        <row r="72">
          <cell r="B72">
            <v>93.51</v>
          </cell>
          <cell r="G72">
            <v>100</v>
          </cell>
          <cell r="L72">
            <v>97.99</v>
          </cell>
          <cell r="Q72">
            <v>97.31</v>
          </cell>
          <cell r="V72">
            <v>100</v>
          </cell>
          <cell r="AA72">
            <v>96.72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INEC"/>
    </sheetNames>
    <sheetDataSet>
      <sheetData sheetId="0">
        <row r="5">
          <cell r="U5">
            <v>2865046.1960000005</v>
          </cell>
        </row>
        <row r="6">
          <cell r="U6">
            <v>86002.350089999993</v>
          </cell>
        </row>
        <row r="7">
          <cell r="U7">
            <v>99936.297599999991</v>
          </cell>
        </row>
        <row r="10">
          <cell r="U10">
            <v>290843.56967</v>
          </cell>
        </row>
        <row r="11">
          <cell r="U11">
            <v>1960.4812300000001</v>
          </cell>
        </row>
        <row r="12">
          <cell r="U12">
            <v>122.4278</v>
          </cell>
        </row>
        <row r="14">
          <cell r="U14">
            <v>69271.287019999989</v>
          </cell>
        </row>
        <row r="16">
          <cell r="U16">
            <v>2402793.3721900005</v>
          </cell>
        </row>
        <row r="18">
          <cell r="U18">
            <v>213159.86446000001</v>
          </cell>
        </row>
        <row r="21">
          <cell r="U21">
            <v>63926.049630000001</v>
          </cell>
        </row>
        <row r="22">
          <cell r="U22">
            <v>9299.1058300000004</v>
          </cell>
        </row>
        <row r="25">
          <cell r="U25">
            <v>7930.8296600000003</v>
          </cell>
        </row>
        <row r="31">
          <cell r="U31">
            <v>301393.33</v>
          </cell>
        </row>
        <row r="32">
          <cell r="U32">
            <v>0</v>
          </cell>
        </row>
        <row r="33">
          <cell r="U33">
            <v>36496.33</v>
          </cell>
        </row>
        <row r="35">
          <cell r="U35">
            <v>136889.96</v>
          </cell>
        </row>
        <row r="38">
          <cell r="U38">
            <v>587145.21</v>
          </cell>
        </row>
        <row r="40">
          <cell r="U40">
            <v>241395.94585222224</v>
          </cell>
        </row>
        <row r="41">
          <cell r="U41">
            <v>1914.25983</v>
          </cell>
        </row>
        <row r="42">
          <cell r="U42">
            <v>98520.131300000008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ISECO"/>
    </sheetNames>
    <sheetDataSet>
      <sheetData sheetId="0">
        <row r="5">
          <cell r="U5">
            <v>3069642.736</v>
          </cell>
        </row>
        <row r="6">
          <cell r="U6">
            <v>86484.677089999997</v>
          </cell>
        </row>
        <row r="7">
          <cell r="U7">
            <v>98690.656719999999</v>
          </cell>
        </row>
        <row r="10">
          <cell r="U10">
            <v>297705.76293000003</v>
          </cell>
        </row>
        <row r="11">
          <cell r="U11">
            <v>1223.7031200000001</v>
          </cell>
        </row>
        <row r="12">
          <cell r="U12">
            <v>-94820.653510000018</v>
          </cell>
        </row>
        <row r="14">
          <cell r="U14">
            <v>82875.004420000012</v>
          </cell>
        </row>
        <row r="16">
          <cell r="U16">
            <v>2349021.3320199996</v>
          </cell>
        </row>
        <row r="18">
          <cell r="U18">
            <v>308495.73931999994</v>
          </cell>
        </row>
        <row r="21">
          <cell r="U21">
            <v>39987.892950000001</v>
          </cell>
        </row>
        <row r="22">
          <cell r="U22">
            <v>949.33637999999996</v>
          </cell>
        </row>
        <row r="25">
          <cell r="U25">
            <v>14226.1345</v>
          </cell>
        </row>
        <row r="31">
          <cell r="U31">
            <v>224526.51</v>
          </cell>
        </row>
        <row r="32">
          <cell r="U32">
            <v>0</v>
          </cell>
        </row>
        <row r="33">
          <cell r="U33">
            <v>54490.080000000002</v>
          </cell>
        </row>
        <row r="35">
          <cell r="U35">
            <v>476804.91</v>
          </cell>
        </row>
        <row r="38">
          <cell r="U38">
            <v>244908.94</v>
          </cell>
        </row>
        <row r="40">
          <cell r="U40">
            <v>238179.46180888885</v>
          </cell>
        </row>
        <row r="41">
          <cell r="U41">
            <v>19.053830000000001</v>
          </cell>
        </row>
        <row r="42">
          <cell r="U42">
            <v>95387.119979999989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LUELCO"/>
    </sheetNames>
    <sheetDataSet>
      <sheetData sheetId="0">
        <row r="5">
          <cell r="U5">
            <v>2546987.5986299999</v>
          </cell>
        </row>
        <row r="6">
          <cell r="U6">
            <v>77327.627869999997</v>
          </cell>
        </row>
        <row r="7">
          <cell r="U7">
            <v>76404.77867</v>
          </cell>
        </row>
        <row r="10">
          <cell r="U10">
            <v>241852.20698000002</v>
          </cell>
        </row>
        <row r="11">
          <cell r="U11">
            <v>35.59243</v>
          </cell>
        </row>
        <row r="12">
          <cell r="U12">
            <v>0</v>
          </cell>
        </row>
        <row r="14">
          <cell r="U14">
            <v>60484.922000000006</v>
          </cell>
        </row>
        <row r="16">
          <cell r="U16">
            <v>1879151.5875600001</v>
          </cell>
        </row>
        <row r="18">
          <cell r="U18">
            <v>248809.05715999997</v>
          </cell>
        </row>
        <row r="21">
          <cell r="U21">
            <v>61917.819559999996</v>
          </cell>
        </row>
        <row r="22">
          <cell r="U22">
            <v>15779.143550000001</v>
          </cell>
        </row>
        <row r="25">
          <cell r="U25">
            <v>0</v>
          </cell>
        </row>
        <row r="31">
          <cell r="U31">
            <v>333357.03000000003</v>
          </cell>
        </row>
        <row r="32">
          <cell r="U32">
            <v>27717.78</v>
          </cell>
        </row>
        <row r="33">
          <cell r="U33">
            <v>53207.08</v>
          </cell>
        </row>
        <row r="35">
          <cell r="U35">
            <v>364561.67</v>
          </cell>
        </row>
        <row r="38">
          <cell r="U38">
            <v>209101.26</v>
          </cell>
        </row>
        <row r="40">
          <cell r="U40">
            <v>202681.48548999999</v>
          </cell>
        </row>
        <row r="41">
          <cell r="U41">
            <v>9.0596499999999995</v>
          </cell>
        </row>
        <row r="42">
          <cell r="U42">
            <v>64128.16517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PANELCO 1"/>
    </sheetNames>
    <sheetDataSet>
      <sheetData sheetId="0">
        <row r="5">
          <cell r="U5">
            <v>1435991.4690700001</v>
          </cell>
        </row>
        <row r="6">
          <cell r="U6">
            <v>36357.77882</v>
          </cell>
        </row>
        <row r="7">
          <cell r="U7">
            <v>45573.957310000005</v>
          </cell>
        </row>
        <row r="10">
          <cell r="U10">
            <v>103720.00135000001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36486.336159999999</v>
          </cell>
        </row>
        <row r="16">
          <cell r="U16">
            <v>1118404.6812</v>
          </cell>
        </row>
        <row r="18">
          <cell r="U18">
            <v>180088.69072000001</v>
          </cell>
        </row>
        <row r="21">
          <cell r="U21">
            <v>43997.126619999995</v>
          </cell>
        </row>
        <row r="22">
          <cell r="U22">
            <v>14706.69097</v>
          </cell>
        </row>
        <row r="25">
          <cell r="U25">
            <v>812.60040000000004</v>
          </cell>
        </row>
        <row r="31">
          <cell r="U31">
            <v>124123.65</v>
          </cell>
        </row>
        <row r="32">
          <cell r="U32">
            <v>556.03</v>
          </cell>
        </row>
        <row r="33">
          <cell r="U33">
            <v>42069.7</v>
          </cell>
        </row>
        <row r="35">
          <cell r="U35">
            <v>86676.65</v>
          </cell>
        </row>
        <row r="38">
          <cell r="U38">
            <v>127769.36</v>
          </cell>
        </row>
        <row r="40">
          <cell r="U40">
            <v>129181.16666333334</v>
          </cell>
        </row>
        <row r="41">
          <cell r="U41">
            <v>135.78638000000001</v>
          </cell>
        </row>
        <row r="42">
          <cell r="U42">
            <v>21788.65249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PANELCO 3"/>
    </sheetNames>
    <sheetDataSet>
      <sheetData sheetId="0">
        <row r="5">
          <cell r="U5">
            <v>4498491.7852100004</v>
          </cell>
        </row>
        <row r="6">
          <cell r="U6">
            <v>123958.29966</v>
          </cell>
        </row>
        <row r="7">
          <cell r="U7">
            <v>117333.52172</v>
          </cell>
        </row>
        <row r="10">
          <cell r="U10">
            <v>449832.36158999999</v>
          </cell>
        </row>
        <row r="11">
          <cell r="U11">
            <v>0</v>
          </cell>
        </row>
        <row r="12">
          <cell r="U12">
            <v>-15.37194</v>
          </cell>
        </row>
        <row r="14">
          <cell r="U14">
            <v>91627.115330000001</v>
          </cell>
        </row>
        <row r="16">
          <cell r="U16">
            <v>3217257.1851999997</v>
          </cell>
        </row>
        <row r="18">
          <cell r="U18">
            <v>326402.52545000002</v>
          </cell>
        </row>
        <row r="21">
          <cell r="U21">
            <v>81896.254329999996</v>
          </cell>
        </row>
        <row r="22">
          <cell r="U22">
            <v>2954.4987799999999</v>
          </cell>
        </row>
        <row r="25">
          <cell r="U25">
            <v>0</v>
          </cell>
        </row>
        <row r="31">
          <cell r="U31">
            <v>567860.81000000006</v>
          </cell>
        </row>
        <row r="32">
          <cell r="U32">
            <v>0</v>
          </cell>
        </row>
        <row r="33">
          <cell r="U33">
            <v>18996.82</v>
          </cell>
        </row>
        <row r="35">
          <cell r="U35">
            <v>666951.79</v>
          </cell>
        </row>
        <row r="38">
          <cell r="U38">
            <v>324638.86</v>
          </cell>
        </row>
        <row r="40">
          <cell r="U40">
            <v>391316.6949233333</v>
          </cell>
        </row>
        <row r="41">
          <cell r="U41">
            <v>1026.95217</v>
          </cell>
        </row>
        <row r="42">
          <cell r="U42">
            <v>121633.34880000001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  <cell r="Y11">
            <v>123211.94713</v>
          </cell>
          <cell r="Z11">
            <v>397088.16211999988</v>
          </cell>
          <cell r="AA11">
            <v>11778.443720000001</v>
          </cell>
          <cell r="AB11">
            <v>17082.406729999999</v>
          </cell>
          <cell r="AC11">
            <v>1120044.27681</v>
          </cell>
        </row>
        <row r="12">
          <cell r="X12">
            <v>461446.67873999994</v>
          </cell>
          <cell r="Y12">
            <v>130162.22871</v>
          </cell>
          <cell r="Z12">
            <v>407899.99946000002</v>
          </cell>
          <cell r="AA12">
            <v>11778.443720000001</v>
          </cell>
          <cell r="AB12">
            <v>17082.407639999987</v>
          </cell>
          <cell r="AC12">
            <v>1130597.2464099999</v>
          </cell>
        </row>
        <row r="13">
          <cell r="X13">
            <v>0.68515898540155928</v>
          </cell>
          <cell r="Y13">
            <v>-5.6953975513241017</v>
          </cell>
          <cell r="Z13">
            <v>-2.0000028376346086</v>
          </cell>
          <cell r="AA13">
            <v>0</v>
          </cell>
          <cell r="AB13">
            <v>0</v>
          </cell>
          <cell r="AC13">
            <v>-1.0002862193659641</v>
          </cell>
        </row>
        <row r="14">
          <cell r="X14">
            <v>8579.6677000000491</v>
          </cell>
          <cell r="Y14">
            <v>-6950.2815799999953</v>
          </cell>
          <cell r="Z14">
            <v>-10811.837340000144</v>
          </cell>
          <cell r="AA14">
            <v>0</v>
          </cell>
          <cell r="AB14">
            <v>-9.0999998792540282E-4</v>
          </cell>
          <cell r="AC14">
            <v>-10552.969599999953</v>
          </cell>
        </row>
        <row r="15">
          <cell r="X15">
            <v>201429.76338999998</v>
          </cell>
          <cell r="Y15">
            <v>9332.9058800000003</v>
          </cell>
          <cell r="Z15">
            <v>122423.02331</v>
          </cell>
          <cell r="AA15">
            <v>0</v>
          </cell>
          <cell r="AB15">
            <v>-9.1E-4</v>
          </cell>
          <cell r="AC15">
            <v>120712.65417000001</v>
          </cell>
        </row>
        <row r="16">
          <cell r="I16">
            <v>-0.66452923243209117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106"/>
  <sheetViews>
    <sheetView tabSelected="1" zoomScale="70" zoomScaleNormal="70" workbookViewId="0">
      <pane xSplit="1" ySplit="9" topLeftCell="B72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G78" sqref="AG78"/>
    </sheetView>
  </sheetViews>
  <sheetFormatPr defaultColWidth="12.5703125" defaultRowHeight="15" outlineLevelRow="1" x14ac:dyDescent="0.2"/>
  <cols>
    <col min="1" max="1" width="40.42578125" style="3" customWidth="1"/>
    <col min="2" max="3" width="16.140625" style="3" customWidth="1"/>
    <col min="4" max="4" width="16.85546875" style="3" customWidth="1"/>
    <col min="5" max="5" width="14.42578125" style="3" bestFit="1" customWidth="1"/>
    <col min="6" max="6" width="1.42578125" style="3" customWidth="1"/>
    <col min="7" max="8" width="16.140625" style="3" customWidth="1"/>
    <col min="9" max="9" width="16.85546875" style="3" bestFit="1" customWidth="1"/>
    <col min="10" max="10" width="12.42578125" style="3" bestFit="1" customWidth="1"/>
    <col min="11" max="11" width="1.5703125" style="3" customWidth="1"/>
    <col min="12" max="13" width="16.140625" style="3" customWidth="1"/>
    <col min="14" max="14" width="16.85546875" style="3" bestFit="1" customWidth="1"/>
    <col min="15" max="15" width="12.42578125" style="3" customWidth="1"/>
    <col min="16" max="16" width="1.42578125" style="3" customWidth="1"/>
    <col min="17" max="18" width="16.140625" style="3" customWidth="1"/>
    <col min="19" max="19" width="16.85546875" style="3" bestFit="1" customWidth="1"/>
    <col min="20" max="20" width="10.5703125" style="3" bestFit="1" customWidth="1"/>
    <col min="21" max="21" width="1.42578125" style="3" customWidth="1"/>
    <col min="22" max="23" width="16.140625" style="3" customWidth="1"/>
    <col min="24" max="24" width="15" style="3" bestFit="1" customWidth="1"/>
    <col min="25" max="25" width="10.5703125" style="3" customWidth="1"/>
    <col min="26" max="26" width="1.5703125" style="3" customWidth="1"/>
    <col min="27" max="28" width="16.140625" style="3" customWidth="1"/>
    <col min="29" max="29" width="16.85546875" style="3" bestFit="1" customWidth="1"/>
    <col min="30" max="30" width="12.42578125" style="3" bestFit="1" customWidth="1"/>
    <col min="31" max="31" width="1.42578125" style="3" customWidth="1"/>
    <col min="32" max="33" width="17.5703125" style="3" customWidth="1"/>
    <col min="34" max="34" width="16.85546875" style="3" customWidth="1"/>
    <col min="35" max="35" width="10.5703125" style="3" customWidth="1"/>
    <col min="36" max="36" width="12.5703125" style="3" customWidth="1"/>
    <col min="37" max="37" width="21.5703125" style="3" customWidth="1"/>
    <col min="38" max="52" width="12.5703125" style="3" customWidth="1"/>
    <col min="53" max="16384" width="12.5703125" style="3"/>
  </cols>
  <sheetData>
    <row r="1" spans="1:37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7" ht="15.75" x14ac:dyDescent="0.25">
      <c r="A2" s="1" t="str">
        <f>'[1]DON''T DELETE'!B2</f>
        <v>Financial Profile as of September 30,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7" ht="15.75" x14ac:dyDescent="0.25">
      <c r="A3" s="1" t="str">
        <f>'[1]DON''T DELETE'!B3</f>
        <v>With Comparative Figures as of September 30, 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7" ht="15.75" x14ac:dyDescent="0.25">
      <c r="A4" s="4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7" ht="15.75" x14ac:dyDescent="0.25">
      <c r="A5" s="2"/>
      <c r="B5" s="5"/>
      <c r="C5" s="5"/>
      <c r="D5" s="5"/>
      <c r="E5" s="5"/>
      <c r="F5" s="2"/>
      <c r="G5" s="6"/>
      <c r="H5" s="6"/>
      <c r="I5" s="6"/>
      <c r="J5" s="6"/>
      <c r="K5" s="2"/>
      <c r="L5" s="6"/>
      <c r="M5" s="6"/>
      <c r="N5" s="6"/>
      <c r="O5" s="6"/>
      <c r="P5" s="2"/>
      <c r="Q5" s="6"/>
      <c r="R5" s="6"/>
      <c r="S5" s="6"/>
      <c r="T5" s="6"/>
      <c r="U5" s="2"/>
      <c r="V5" s="6"/>
      <c r="W5" s="6"/>
      <c r="X5" s="6"/>
      <c r="Y5" s="6"/>
      <c r="Z5" s="7"/>
      <c r="AA5" s="6"/>
      <c r="AB5" s="6"/>
      <c r="AC5" s="6"/>
      <c r="AD5" s="6"/>
      <c r="AE5" s="2"/>
      <c r="AF5" s="7"/>
      <c r="AG5" s="7"/>
      <c r="AH5" s="7"/>
      <c r="AI5" s="2"/>
    </row>
    <row r="6" spans="1:37" ht="15.75" x14ac:dyDescent="0.25">
      <c r="A6" s="2"/>
      <c r="B6" s="6" t="s">
        <v>2</v>
      </c>
      <c r="C6" s="6"/>
      <c r="D6" s="6"/>
      <c r="E6" s="6"/>
      <c r="F6" s="7"/>
      <c r="G6" s="6" t="s">
        <v>3</v>
      </c>
      <c r="H6" s="6"/>
      <c r="I6" s="6"/>
      <c r="J6" s="6"/>
      <c r="K6" s="2"/>
      <c r="L6" s="6" t="s">
        <v>4</v>
      </c>
      <c r="M6" s="6"/>
      <c r="N6" s="6"/>
      <c r="O6" s="6"/>
      <c r="P6" s="2"/>
      <c r="Q6" s="6" t="s">
        <v>5</v>
      </c>
      <c r="R6" s="6"/>
      <c r="S6" s="6"/>
      <c r="T6" s="6"/>
      <c r="U6" s="2"/>
      <c r="V6" s="6" t="s">
        <v>6</v>
      </c>
      <c r="W6" s="6"/>
      <c r="X6" s="6"/>
      <c r="Y6" s="6"/>
      <c r="Z6" s="2"/>
      <c r="AA6" s="6" t="s">
        <v>7</v>
      </c>
      <c r="AB6" s="6"/>
      <c r="AC6" s="6"/>
      <c r="AD6" s="6"/>
      <c r="AE6" s="2"/>
      <c r="AF6" s="7" t="s">
        <v>8</v>
      </c>
      <c r="AG6" s="7"/>
      <c r="AH6" s="7"/>
      <c r="AI6" s="7"/>
    </row>
    <row r="7" spans="1:37" ht="15.75" x14ac:dyDescent="0.25">
      <c r="A7" s="2"/>
      <c r="B7" s="2"/>
      <c r="C7" s="8"/>
      <c r="D7" s="2"/>
      <c r="E7" s="2"/>
      <c r="F7" s="2"/>
      <c r="G7" s="2"/>
      <c r="H7" s="8"/>
      <c r="I7" s="2"/>
      <c r="J7" s="2"/>
      <c r="K7" s="2"/>
      <c r="L7" s="2"/>
      <c r="M7" s="8"/>
      <c r="N7" s="2"/>
      <c r="O7" s="2"/>
      <c r="P7" s="2"/>
      <c r="Q7" s="2"/>
      <c r="R7" s="8"/>
      <c r="S7" s="2"/>
      <c r="T7" s="2"/>
      <c r="U7" s="2"/>
      <c r="V7" s="2"/>
      <c r="W7" s="8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7" x14ac:dyDescent="0.2">
      <c r="B8" s="9">
        <v>2024</v>
      </c>
      <c r="C8" s="9">
        <v>2023</v>
      </c>
      <c r="D8" s="10" t="s">
        <v>9</v>
      </c>
      <c r="E8" s="10"/>
      <c r="F8" s="9"/>
      <c r="G8" s="9">
        <v>2024</v>
      </c>
      <c r="H8" s="9">
        <v>2023</v>
      </c>
      <c r="I8" s="10" t="s">
        <v>9</v>
      </c>
      <c r="J8" s="10"/>
      <c r="L8" s="9">
        <v>2024</v>
      </c>
      <c r="M8" s="9">
        <v>2023</v>
      </c>
      <c r="N8" s="10" t="s">
        <v>9</v>
      </c>
      <c r="O8" s="10"/>
      <c r="P8" s="9"/>
      <c r="Q8" s="9">
        <v>2024</v>
      </c>
      <c r="R8" s="9">
        <v>2023</v>
      </c>
      <c r="S8" s="10" t="s">
        <v>9</v>
      </c>
      <c r="T8" s="10"/>
      <c r="V8" s="9">
        <v>2024</v>
      </c>
      <c r="W8" s="9">
        <v>2023</v>
      </c>
      <c r="X8" s="10" t="s">
        <v>9</v>
      </c>
      <c r="Y8" s="10"/>
      <c r="AA8" s="9">
        <v>2024</v>
      </c>
      <c r="AB8" s="9">
        <v>2023</v>
      </c>
      <c r="AC8" s="10" t="s">
        <v>9</v>
      </c>
      <c r="AD8" s="10"/>
      <c r="AF8" s="9">
        <v>2024</v>
      </c>
      <c r="AG8" s="9">
        <v>2023</v>
      </c>
      <c r="AH8" s="10" t="s">
        <v>9</v>
      </c>
      <c r="AI8" s="10"/>
    </row>
    <row r="9" spans="1:37" x14ac:dyDescent="0.2">
      <c r="B9" s="9" t="str">
        <f>'[1]DON''T DELETE'!$B$5</f>
        <v>September</v>
      </c>
      <c r="C9" s="9" t="str">
        <f>'[1]DON''T DELETE'!$B$5</f>
        <v>September</v>
      </c>
      <c r="D9" s="9" t="s">
        <v>10</v>
      </c>
      <c r="E9" s="9" t="s">
        <v>11</v>
      </c>
      <c r="F9" s="9"/>
      <c r="G9" s="9" t="str">
        <f>'[1]DON''T DELETE'!$B$5</f>
        <v>September</v>
      </c>
      <c r="H9" s="9" t="str">
        <f>'[1]DON''T DELETE'!$B$5</f>
        <v>September</v>
      </c>
      <c r="I9" s="9" t="s">
        <v>10</v>
      </c>
      <c r="J9" s="9" t="s">
        <v>11</v>
      </c>
      <c r="L9" s="9" t="str">
        <f>'[1]DON''T DELETE'!$B$5</f>
        <v>September</v>
      </c>
      <c r="M9" s="9" t="str">
        <f>'[1]DON''T DELETE'!$B$5</f>
        <v>September</v>
      </c>
      <c r="N9" s="9" t="s">
        <v>10</v>
      </c>
      <c r="O9" s="9" t="s">
        <v>11</v>
      </c>
      <c r="Q9" s="9" t="str">
        <f>'[1]DON''T DELETE'!$B$5</f>
        <v>September</v>
      </c>
      <c r="R9" s="9" t="str">
        <f>'[1]DON''T DELETE'!$B$5</f>
        <v>September</v>
      </c>
      <c r="S9" s="9" t="s">
        <v>10</v>
      </c>
      <c r="T9" s="9" t="s">
        <v>11</v>
      </c>
      <c r="V9" s="9" t="str">
        <f>'[1]DON''T DELETE'!$B$5</f>
        <v>September</v>
      </c>
      <c r="W9" s="9" t="str">
        <f>'[1]DON''T DELETE'!$B$5</f>
        <v>September</v>
      </c>
      <c r="X9" s="9" t="s">
        <v>10</v>
      </c>
      <c r="Y9" s="9" t="s">
        <v>11</v>
      </c>
      <c r="AA9" s="9" t="str">
        <f>'[1]DON''T DELETE'!$B$5</f>
        <v>September</v>
      </c>
      <c r="AB9" s="9" t="str">
        <f>'[1]DON''T DELETE'!$B$5</f>
        <v>September</v>
      </c>
      <c r="AC9" s="9" t="s">
        <v>10</v>
      </c>
      <c r="AD9" s="9" t="s">
        <v>11</v>
      </c>
      <c r="AF9" s="9" t="str">
        <f>'[1]DON''T DELETE'!$B$5</f>
        <v>September</v>
      </c>
      <c r="AG9" s="9" t="str">
        <f>'[1]DON''T DELETE'!$B$5</f>
        <v>September</v>
      </c>
      <c r="AH9" s="9" t="s">
        <v>10</v>
      </c>
      <c r="AI9" s="9" t="s">
        <v>11</v>
      </c>
    </row>
    <row r="11" spans="1:37" ht="15.75" x14ac:dyDescent="0.25">
      <c r="A11" s="1" t="s">
        <v>12</v>
      </c>
      <c r="B11" s="11"/>
      <c r="C11" s="12"/>
      <c r="D11" s="13"/>
      <c r="E11" s="13"/>
      <c r="F11" s="13"/>
      <c r="G11" s="11"/>
      <c r="H11" s="12"/>
      <c r="I11" s="13"/>
      <c r="J11" s="13"/>
      <c r="K11" s="13"/>
      <c r="L11" s="11"/>
      <c r="M11" s="12"/>
      <c r="N11" s="13"/>
      <c r="O11" s="13"/>
      <c r="P11" s="13"/>
      <c r="Q11" s="11"/>
      <c r="R11" s="12"/>
      <c r="S11" s="13"/>
      <c r="T11" s="13"/>
      <c r="U11" s="13"/>
      <c r="V11" s="11"/>
      <c r="W11" s="12"/>
      <c r="X11" s="13"/>
      <c r="Y11" s="13"/>
      <c r="Z11" s="13"/>
      <c r="AA11" s="11"/>
      <c r="AB11" s="12"/>
      <c r="AC11" s="13"/>
      <c r="AD11" s="13"/>
      <c r="AE11" s="13"/>
      <c r="AF11" s="13"/>
      <c r="AG11" s="13"/>
      <c r="AH11" s="13"/>
      <c r="AI11" s="13"/>
      <c r="AJ11" s="13"/>
    </row>
    <row r="13" spans="1:37" x14ac:dyDescent="0.2">
      <c r="A13" s="14" t="s">
        <v>13</v>
      </c>
      <c r="B13" s="15">
        <f>[2]FP!U5</f>
        <v>5043293.4726999998</v>
      </c>
      <c r="C13" s="15">
        <f>[3]REG1!B13</f>
        <v>5501716.7716600001</v>
      </c>
      <c r="D13" s="15">
        <f t="shared" ref="D13:D24" si="0">B13-C13</f>
        <v>-458423.29896000028</v>
      </c>
      <c r="E13" s="15">
        <f t="shared" ref="E13:E22" si="1">D13/C13*100</f>
        <v>-8.3323682040739264</v>
      </c>
      <c r="F13" s="16"/>
      <c r="G13" s="15">
        <f>[4]FP!U5</f>
        <v>2865046.1960000005</v>
      </c>
      <c r="H13" s="15">
        <f>[3]REG1!G13</f>
        <v>3456999.7646900001</v>
      </c>
      <c r="I13" s="15">
        <f>G13-H13</f>
        <v>-591953.56868999964</v>
      </c>
      <c r="J13" s="15">
        <f t="shared" ref="J13:J22" si="2">I13/H13*100</f>
        <v>-17.123332628953243</v>
      </c>
      <c r="K13" s="16"/>
      <c r="L13" s="15">
        <f>[5]FP!U5</f>
        <v>3069642.736</v>
      </c>
      <c r="M13" s="15">
        <f>[3]REG1!L13</f>
        <v>3368766.9299199996</v>
      </c>
      <c r="N13" s="15">
        <f t="shared" ref="N13:N24" si="3">L13-M13</f>
        <v>-299124.19391999952</v>
      </c>
      <c r="O13" s="15">
        <f t="shared" ref="O13:O22" si="4">N13/M13*100</f>
        <v>-8.8793377559991384</v>
      </c>
      <c r="P13" s="16"/>
      <c r="Q13" s="15">
        <f>[6]FP!U5</f>
        <v>2546987.5986299999</v>
      </c>
      <c r="R13" s="15">
        <f>[3]REG1!Q13</f>
        <v>2558320.89053</v>
      </c>
      <c r="S13" s="15">
        <f t="shared" ref="S13:S24" si="5">Q13-R13</f>
        <v>-11333.291900000069</v>
      </c>
      <c r="T13" s="15">
        <f t="shared" ref="T13:T22" si="6">S13/R13*100</f>
        <v>-0.44299727770475988</v>
      </c>
      <c r="U13" s="16"/>
      <c r="V13" s="15">
        <f>[7]FP!U5</f>
        <v>1435991.4690700001</v>
      </c>
      <c r="W13" s="15">
        <f>[3]REG1!V13</f>
        <v>1598957.5621799999</v>
      </c>
      <c r="X13" s="15">
        <f t="shared" ref="X13:X24" si="7">V13-W13</f>
        <v>-162966.09310999978</v>
      </c>
      <c r="Y13" s="15">
        <f t="shared" ref="Y13:Y22" si="8">X13/W13*100</f>
        <v>-10.19202116207598</v>
      </c>
      <c r="Z13" s="16"/>
      <c r="AA13" s="15">
        <f>[8]FP!U5</f>
        <v>4498491.7852100004</v>
      </c>
      <c r="AB13" s="15">
        <f>[3]REG1!AA13</f>
        <v>4719956.8542299997</v>
      </c>
      <c r="AC13" s="15">
        <f t="shared" ref="AC13:AC24" si="9">AA13-AB13</f>
        <v>-221465.06901999936</v>
      </c>
      <c r="AD13" s="15">
        <f t="shared" ref="AD13:AD22" si="10">AC13/AB13*100</f>
        <v>-4.6920994377633676</v>
      </c>
      <c r="AE13" s="16"/>
      <c r="AF13" s="15">
        <f t="shared" ref="AF13:AG18" si="11">G13+L13+Q13+B13+V13+AA13</f>
        <v>19459453.257610001</v>
      </c>
      <c r="AG13" s="15">
        <f t="shared" si="11"/>
        <v>21204718.773209997</v>
      </c>
      <c r="AH13" s="15">
        <f t="shared" ref="AH13:AH24" si="12">AF13-AG13</f>
        <v>-1745265.5155999959</v>
      </c>
      <c r="AI13" s="15">
        <f t="shared" ref="AI13:AI22" si="13">AH13/AG13*100</f>
        <v>-8.2305525211914681</v>
      </c>
      <c r="AK13" s="17"/>
    </row>
    <row r="14" spans="1:37" x14ac:dyDescent="0.2">
      <c r="A14" s="14" t="s">
        <v>14</v>
      </c>
      <c r="B14" s="15">
        <f>[2]FP!U6</f>
        <v>185979.07032</v>
      </c>
      <c r="C14" s="15">
        <f>[3]REG1!B14</f>
        <v>160738.49101</v>
      </c>
      <c r="D14" s="15">
        <f>B14-C14</f>
        <v>25240.579310000001</v>
      </c>
      <c r="E14" s="15">
        <f>D14/C14*100</f>
        <v>15.70288432559051</v>
      </c>
      <c r="F14" s="16"/>
      <c r="G14" s="15">
        <f>[4]FP!U6</f>
        <v>86002.350089999993</v>
      </c>
      <c r="H14" s="15">
        <f>[3]REG1!G14</f>
        <v>72408.624589999992</v>
      </c>
      <c r="I14" s="15">
        <f>G14-H14</f>
        <v>13593.7255</v>
      </c>
      <c r="J14" s="15">
        <f>I14/H14*100</f>
        <v>18.773627557451718</v>
      </c>
      <c r="K14" s="16"/>
      <c r="L14" s="15">
        <f>[5]FP!U6</f>
        <v>86484.677089999997</v>
      </c>
      <c r="M14" s="15">
        <f>[3]REG1!L14</f>
        <v>74211.744160000002</v>
      </c>
      <c r="N14" s="15">
        <f>L14-M14</f>
        <v>12272.932929999995</v>
      </c>
      <c r="O14" s="15">
        <f>N14/M14*100</f>
        <v>16.537723333303738</v>
      </c>
      <c r="P14" s="16"/>
      <c r="Q14" s="15">
        <f>[6]FP!U6</f>
        <v>77327.627869999997</v>
      </c>
      <c r="R14" s="15">
        <f>[3]REG1!Q14</f>
        <v>66146.589300000007</v>
      </c>
      <c r="S14" s="15">
        <f>Q14-R14</f>
        <v>11181.03856999999</v>
      </c>
      <c r="T14" s="15">
        <f>S14/R14*100</f>
        <v>16.903424180027962</v>
      </c>
      <c r="U14" s="16"/>
      <c r="V14" s="15">
        <f>[7]FP!U6</f>
        <v>36357.77882</v>
      </c>
      <c r="W14" s="15">
        <f>[3]REG1!V14</f>
        <v>30678.10253</v>
      </c>
      <c r="X14" s="15">
        <f>V14-W14</f>
        <v>5679.6762899999994</v>
      </c>
      <c r="Y14" s="15">
        <f>X14/W14*100</f>
        <v>18.513779606955367</v>
      </c>
      <c r="Z14" s="16"/>
      <c r="AA14" s="15">
        <f>[8]FP!U6</f>
        <v>123958.29966</v>
      </c>
      <c r="AB14" s="15">
        <f>[3]REG1!AA14</f>
        <v>107430.34396</v>
      </c>
      <c r="AC14" s="15">
        <f t="shared" si="9"/>
        <v>16527.955700000006</v>
      </c>
      <c r="AD14" s="15">
        <f t="shared" si="10"/>
        <v>15.384811302618495</v>
      </c>
      <c r="AE14" s="16"/>
      <c r="AF14" s="15">
        <f t="shared" si="11"/>
        <v>596109.80385000003</v>
      </c>
      <c r="AG14" s="15">
        <f t="shared" si="11"/>
        <v>511613.89555000002</v>
      </c>
      <c r="AH14" s="15">
        <f>AF14-AG14</f>
        <v>84495.90830000001</v>
      </c>
      <c r="AI14" s="15">
        <f>AH14/AG14*100</f>
        <v>16.515561644228686</v>
      </c>
      <c r="AK14" s="17"/>
    </row>
    <row r="15" spans="1:37" x14ac:dyDescent="0.2">
      <c r="A15" s="14" t="s">
        <v>15</v>
      </c>
      <c r="B15" s="15">
        <f>[2]FP!U7</f>
        <v>134995.22145000001</v>
      </c>
      <c r="C15" s="15">
        <f>[3]REG1!B15</f>
        <v>89717.764580000003</v>
      </c>
      <c r="D15" s="15">
        <f t="shared" si="0"/>
        <v>45277.456870000009</v>
      </c>
      <c r="E15" s="15">
        <f t="shared" si="1"/>
        <v>50.46654593096418</v>
      </c>
      <c r="F15" s="16"/>
      <c r="G15" s="15">
        <f>[4]FP!U7</f>
        <v>99936.297599999991</v>
      </c>
      <c r="H15" s="15">
        <f>[3]REG1!G15</f>
        <v>64177.779429999995</v>
      </c>
      <c r="I15" s="15">
        <f>G15-H15</f>
        <v>35758.518169999996</v>
      </c>
      <c r="J15" s="15">
        <f t="shared" si="2"/>
        <v>55.717911226583553</v>
      </c>
      <c r="K15" s="16"/>
      <c r="L15" s="15">
        <f>[5]FP!U7</f>
        <v>98690.656719999999</v>
      </c>
      <c r="M15" s="15">
        <f>[3]REG1!L15</f>
        <v>64989.93922</v>
      </c>
      <c r="N15" s="15">
        <f t="shared" si="3"/>
        <v>33700.717499999999</v>
      </c>
      <c r="O15" s="15">
        <f t="shared" si="4"/>
        <v>51.855283916974251</v>
      </c>
      <c r="P15" s="16"/>
      <c r="Q15" s="15">
        <f>[6]FP!U7</f>
        <v>76404.77867</v>
      </c>
      <c r="R15" s="15">
        <f>[3]REG1!Q15</f>
        <v>51236.669419999998</v>
      </c>
      <c r="S15" s="15">
        <f t="shared" si="5"/>
        <v>25168.109250000001</v>
      </c>
      <c r="T15" s="15">
        <f t="shared" si="6"/>
        <v>49.121282735399163</v>
      </c>
      <c r="U15" s="16"/>
      <c r="V15" s="15">
        <f>[7]FP!U7</f>
        <v>45573.957310000005</v>
      </c>
      <c r="W15" s="15">
        <f>[3]REG1!V15</f>
        <v>29937.80601</v>
      </c>
      <c r="X15" s="15">
        <f>V15-W15</f>
        <v>15636.151300000005</v>
      </c>
      <c r="Y15" s="15">
        <f>X15/W15*100</f>
        <v>52.228781543901803</v>
      </c>
      <c r="Z15" s="16"/>
      <c r="AA15" s="15">
        <f>[8]FP!U7</f>
        <v>117333.52172</v>
      </c>
      <c r="AB15" s="15">
        <f>[3]REG1!AA15</f>
        <v>89812.333199999994</v>
      </c>
      <c r="AC15" s="15">
        <f t="shared" si="9"/>
        <v>27521.188520000011</v>
      </c>
      <c r="AD15" s="15">
        <f t="shared" si="10"/>
        <v>30.642994719571558</v>
      </c>
      <c r="AE15" s="16"/>
      <c r="AF15" s="15">
        <f t="shared" si="11"/>
        <v>572934.43347000005</v>
      </c>
      <c r="AG15" s="15">
        <f t="shared" si="11"/>
        <v>389872.29186</v>
      </c>
      <c r="AH15" s="15">
        <f t="shared" si="12"/>
        <v>183062.14161000005</v>
      </c>
      <c r="AI15" s="15">
        <f t="shared" si="13"/>
        <v>46.95438620083732</v>
      </c>
    </row>
    <row r="16" spans="1:37" x14ac:dyDescent="0.2">
      <c r="A16" s="18" t="s">
        <v>16</v>
      </c>
      <c r="B16" s="15">
        <f>[2]FP!U10</f>
        <v>506676.93760000006</v>
      </c>
      <c r="C16" s="15">
        <f>[3]REG1!B16</f>
        <v>576771.61827999994</v>
      </c>
      <c r="D16" s="15">
        <f t="shared" si="0"/>
        <v>-70094.680679999874</v>
      </c>
      <c r="E16" s="15">
        <f t="shared" si="1"/>
        <v>-12.152935140780743</v>
      </c>
      <c r="F16" s="16"/>
      <c r="G16" s="19">
        <f>[4]FP!U10</f>
        <v>290843.56967</v>
      </c>
      <c r="H16" s="19">
        <f>[3]REG1!G16</f>
        <v>340809.66034</v>
      </c>
      <c r="I16" s="15">
        <f t="shared" ref="I16:I22" si="14">G16-H16</f>
        <v>-49966.090670000005</v>
      </c>
      <c r="J16" s="15">
        <f t="shared" si="2"/>
        <v>-14.660995999982108</v>
      </c>
      <c r="K16" s="16"/>
      <c r="L16" s="15">
        <f>[5]FP!U10</f>
        <v>297705.76293000003</v>
      </c>
      <c r="M16" s="15">
        <f>[3]REG1!L16</f>
        <v>340782.56195</v>
      </c>
      <c r="N16" s="15">
        <f>L16-M16</f>
        <v>-43076.799019999977</v>
      </c>
      <c r="O16" s="15">
        <f t="shared" si="4"/>
        <v>-12.640552607360306</v>
      </c>
      <c r="P16" s="16"/>
      <c r="Q16" s="15">
        <f>[6]FP!U10</f>
        <v>241852.20698000002</v>
      </c>
      <c r="R16" s="15">
        <f>[3]REG1!Q16</f>
        <v>259731.58429999999</v>
      </c>
      <c r="S16" s="15">
        <f>Q16-R16</f>
        <v>-17879.37731999997</v>
      </c>
      <c r="T16" s="15">
        <f t="shared" si="6"/>
        <v>-6.8837901898556169</v>
      </c>
      <c r="U16" s="16"/>
      <c r="V16" s="15">
        <f>[7]FP!U10</f>
        <v>103720.00135000001</v>
      </c>
      <c r="W16" s="15">
        <f>[3]REG1!V16</f>
        <v>162696.05327</v>
      </c>
      <c r="X16" s="15">
        <f>V16-W16</f>
        <v>-58976.051919999998</v>
      </c>
      <c r="Y16" s="15">
        <f>X16/W16*100</f>
        <v>-36.249221007301941</v>
      </c>
      <c r="Z16" s="16"/>
      <c r="AA16" s="15">
        <f>[8]FP!U10</f>
        <v>449832.36158999999</v>
      </c>
      <c r="AB16" s="15">
        <f>[3]REG1!AA16</f>
        <v>465255.88934999995</v>
      </c>
      <c r="AC16" s="15">
        <f t="shared" si="9"/>
        <v>-15423.527759999968</v>
      </c>
      <c r="AD16" s="15">
        <f t="shared" si="10"/>
        <v>-3.315063411996328</v>
      </c>
      <c r="AE16" s="16"/>
      <c r="AF16" s="15">
        <f t="shared" si="11"/>
        <v>1890630.8401200003</v>
      </c>
      <c r="AG16" s="15">
        <f t="shared" si="11"/>
        <v>2146047.3674899996</v>
      </c>
      <c r="AH16" s="15">
        <f>AF16-AG16</f>
        <v>-255416.52736999933</v>
      </c>
      <c r="AI16" s="15">
        <f t="shared" si="13"/>
        <v>-11.901719003934778</v>
      </c>
    </row>
    <row r="17" spans="1:37" x14ac:dyDescent="0.2">
      <c r="A17" s="18" t="s">
        <v>17</v>
      </c>
      <c r="B17" s="15">
        <f>[2]FP!U11</f>
        <v>0</v>
      </c>
      <c r="C17" s="15">
        <f>[3]REG1!B17</f>
        <v>0</v>
      </c>
      <c r="D17" s="15">
        <f t="shared" si="0"/>
        <v>0</v>
      </c>
      <c r="E17" s="15"/>
      <c r="F17" s="16"/>
      <c r="G17" s="19">
        <f>[4]FP!U11</f>
        <v>1960.4812300000001</v>
      </c>
      <c r="H17" s="19">
        <f>[3]REG1!G17</f>
        <v>1604.1616800000002</v>
      </c>
      <c r="I17" s="15">
        <f t="shared" si="14"/>
        <v>356.31954999999994</v>
      </c>
      <c r="J17" s="15">
        <f t="shared" si="2"/>
        <v>22.21219684040825</v>
      </c>
      <c r="K17" s="16"/>
      <c r="L17" s="15">
        <f>[5]FP!U11</f>
        <v>1223.7031200000001</v>
      </c>
      <c r="M17" s="15">
        <f>[3]REG1!L17</f>
        <v>667.27958999999998</v>
      </c>
      <c r="N17" s="15">
        <f>L17-M17</f>
        <v>556.42353000000014</v>
      </c>
      <c r="O17" s="15">
        <f t="shared" si="4"/>
        <v>83.386864867244043</v>
      </c>
      <c r="P17" s="16"/>
      <c r="Q17" s="15">
        <f>[6]FP!U11</f>
        <v>35.59243</v>
      </c>
      <c r="R17" s="15">
        <f>[3]REG1!Q17</f>
        <v>0</v>
      </c>
      <c r="S17" s="15">
        <f>Q17-R17</f>
        <v>35.59243</v>
      </c>
      <c r="T17" s="15"/>
      <c r="U17" s="16"/>
      <c r="V17" s="15">
        <f>[7]FP!U11</f>
        <v>0</v>
      </c>
      <c r="W17" s="15">
        <f>[3]REG1!V17</f>
        <v>0</v>
      </c>
      <c r="X17" s="15">
        <f>V17-W17</f>
        <v>0</v>
      </c>
      <c r="Y17" s="15"/>
      <c r="Z17" s="16"/>
      <c r="AA17" s="15">
        <f>[8]FP!U11</f>
        <v>0</v>
      </c>
      <c r="AB17" s="15">
        <f>[3]REG1!AA17</f>
        <v>0</v>
      </c>
      <c r="AC17" s="15">
        <v>0</v>
      </c>
      <c r="AD17" s="15"/>
      <c r="AE17" s="16"/>
      <c r="AF17" s="15">
        <f t="shared" si="11"/>
        <v>3219.7767800000006</v>
      </c>
      <c r="AG17" s="15">
        <f t="shared" si="11"/>
        <v>2271.4412700000003</v>
      </c>
      <c r="AH17" s="15">
        <f>AF17-AG17</f>
        <v>948.33551000000034</v>
      </c>
      <c r="AI17" s="15">
        <f t="shared" si="13"/>
        <v>41.750386528813941</v>
      </c>
    </row>
    <row r="18" spans="1:37" x14ac:dyDescent="0.2">
      <c r="A18" s="18" t="s">
        <v>18</v>
      </c>
      <c r="B18" s="15">
        <f>[2]FP!U12</f>
        <v>1069.3056200000001</v>
      </c>
      <c r="C18" s="15">
        <f>[3]REG1!B18</f>
        <v>11054.416569999999</v>
      </c>
      <c r="D18" s="15">
        <f t="shared" si="0"/>
        <v>-9985.1109499999984</v>
      </c>
      <c r="E18" s="15">
        <f t="shared" si="1"/>
        <v>-90.326892303824209</v>
      </c>
      <c r="F18" s="16"/>
      <c r="G18" s="15">
        <f>[4]FP!U12</f>
        <v>122.4278</v>
      </c>
      <c r="H18" s="15">
        <f>[3]REG1!G18</f>
        <v>-0.88516000000000006</v>
      </c>
      <c r="I18" s="15">
        <f t="shared" si="14"/>
        <v>123.31296</v>
      </c>
      <c r="J18" s="15">
        <f t="shared" si="2"/>
        <v>-13931.149170771385</v>
      </c>
      <c r="K18" s="16"/>
      <c r="L18" s="15">
        <f>[5]FP!U12</f>
        <v>-94820.653510000018</v>
      </c>
      <c r="M18" s="15">
        <f>[3]REG1!L18</f>
        <v>21.544060000000002</v>
      </c>
      <c r="N18" s="15">
        <f>L18-M18</f>
        <v>-94842.197570000018</v>
      </c>
      <c r="O18" s="15">
        <f t="shared" si="4"/>
        <v>-440224.34754637704</v>
      </c>
      <c r="P18" s="16"/>
      <c r="Q18" s="15">
        <f>[6]FP!U12</f>
        <v>0</v>
      </c>
      <c r="R18" s="15">
        <f>[3]REG1!Q18</f>
        <v>0</v>
      </c>
      <c r="S18" s="15">
        <f>Q18-R18</f>
        <v>0</v>
      </c>
      <c r="T18" s="15"/>
      <c r="U18" s="16"/>
      <c r="V18" s="15">
        <f>[7]FP!U12</f>
        <v>0</v>
      </c>
      <c r="W18" s="15">
        <f>[3]REG1!V18</f>
        <v>0</v>
      </c>
      <c r="X18" s="15">
        <f>V18-W18</f>
        <v>0</v>
      </c>
      <c r="Y18" s="15"/>
      <c r="Z18" s="16"/>
      <c r="AA18" s="15">
        <f>[8]FP!U12</f>
        <v>-15.37194</v>
      </c>
      <c r="AB18" s="15">
        <f>[3]REG1!AA18</f>
        <v>0</v>
      </c>
      <c r="AC18" s="15">
        <f t="shared" si="9"/>
        <v>-15.37194</v>
      </c>
      <c r="AD18" s="15"/>
      <c r="AE18" s="16"/>
      <c r="AF18" s="15">
        <f t="shared" si="11"/>
        <v>-93644.292030000011</v>
      </c>
      <c r="AG18" s="15">
        <f t="shared" si="11"/>
        <v>11075.07547</v>
      </c>
      <c r="AH18" s="15">
        <f>AF18-AG18</f>
        <v>-104719.36750000001</v>
      </c>
      <c r="AI18" s="15">
        <f t="shared" si="13"/>
        <v>-945.54089300485828</v>
      </c>
    </row>
    <row r="19" spans="1:37" x14ac:dyDescent="0.2">
      <c r="A19" s="14" t="s">
        <v>19</v>
      </c>
      <c r="B19" s="15">
        <f>B13-B14-B15-B16-B17-B18</f>
        <v>4214572.9377100002</v>
      </c>
      <c r="C19" s="15">
        <f>[3]REG1!B19</f>
        <v>4663434.4812199995</v>
      </c>
      <c r="D19" s="15">
        <f t="shared" si="0"/>
        <v>-448861.54350999929</v>
      </c>
      <c r="E19" s="15">
        <f t="shared" si="1"/>
        <v>-9.6251281178624559</v>
      </c>
      <c r="F19" s="16"/>
      <c r="G19" s="15">
        <f>G13-G14-G15-G16-G17-G18</f>
        <v>2386181.0696100001</v>
      </c>
      <c r="H19" s="15">
        <f>[3]REG1!G19</f>
        <v>2978000.4238100001</v>
      </c>
      <c r="I19" s="15">
        <f t="shared" si="14"/>
        <v>-591819.35419999994</v>
      </c>
      <c r="J19" s="15">
        <f t="shared" si="2"/>
        <v>-19.873044660041952</v>
      </c>
      <c r="K19" s="16"/>
      <c r="L19" s="15">
        <f>L13-L14-L15-L16-L17-L18</f>
        <v>2680358.58965</v>
      </c>
      <c r="M19" s="15">
        <f>[3]REG1!L19</f>
        <v>2888093.8609399996</v>
      </c>
      <c r="N19" s="15">
        <f t="shared" si="3"/>
        <v>-207735.2712899996</v>
      </c>
      <c r="O19" s="15">
        <f t="shared" si="4"/>
        <v>-7.1928157910486732</v>
      </c>
      <c r="P19" s="16"/>
      <c r="Q19" s="15">
        <f>Q13-Q14-Q15-Q16-Q17-Q18</f>
        <v>2151367.3926799996</v>
      </c>
      <c r="R19" s="15">
        <f>[3]REG1!Q19</f>
        <v>2181206.0475099999</v>
      </c>
      <c r="S19" s="15">
        <f>Q19-R19</f>
        <v>-29838.654830000363</v>
      </c>
      <c r="T19" s="15">
        <f>S19/R19*100</f>
        <v>-1.3679888181157065</v>
      </c>
      <c r="U19" s="16"/>
      <c r="V19" s="15">
        <f>V13-V14-V15-V16-V17-V18</f>
        <v>1250339.7315900002</v>
      </c>
      <c r="W19" s="15">
        <f>[3]REG1!V19</f>
        <v>1375645.6003699999</v>
      </c>
      <c r="X19" s="15">
        <f t="shared" si="7"/>
        <v>-125305.86877999967</v>
      </c>
      <c r="Y19" s="15">
        <f t="shared" si="8"/>
        <v>-9.1088772243590093</v>
      </c>
      <c r="Z19" s="16"/>
      <c r="AA19" s="15">
        <f>AA13-AA14-AA15-AA16-AA17-AA18</f>
        <v>3807382.9741800008</v>
      </c>
      <c r="AB19" s="15">
        <f>[3]REG1!AA19</f>
        <v>4057458.2877199994</v>
      </c>
      <c r="AC19" s="15">
        <f t="shared" si="9"/>
        <v>-250075.31353999861</v>
      </c>
      <c r="AD19" s="15">
        <f t="shared" si="10"/>
        <v>-6.1633489689064191</v>
      </c>
      <c r="AE19" s="16"/>
      <c r="AF19" s="15">
        <f>AF13-AF14-AF15-AF16-AF18-AF17</f>
        <v>16490202.695420001</v>
      </c>
      <c r="AG19" s="15">
        <f>AG13-AG14-AG15-AG16-AG18-AG17</f>
        <v>18143838.701569993</v>
      </c>
      <c r="AH19" s="15">
        <f t="shared" si="12"/>
        <v>-1653636.0061499923</v>
      </c>
      <c r="AI19" s="15">
        <f t="shared" si="13"/>
        <v>-9.1140360832622633</v>
      </c>
    </row>
    <row r="20" spans="1:37" x14ac:dyDescent="0.2">
      <c r="A20" s="14" t="s">
        <v>20</v>
      </c>
      <c r="B20" s="15">
        <f>[2]FP!$U$14</f>
        <v>81966.250319999992</v>
      </c>
      <c r="C20" s="15">
        <f>[3]REG1!B20</f>
        <v>79731.740440000009</v>
      </c>
      <c r="D20" s="15">
        <f t="shared" si="0"/>
        <v>2234.5098799999832</v>
      </c>
      <c r="E20" s="15">
        <f t="shared" si="1"/>
        <v>2.8025349348563435</v>
      </c>
      <c r="F20" s="16"/>
      <c r="G20" s="19">
        <f>[4]FP!$U$14</f>
        <v>69271.287019999989</v>
      </c>
      <c r="H20" s="19">
        <f>[3]REG1!G20</f>
        <v>33500.106639999998</v>
      </c>
      <c r="I20" s="15">
        <f t="shared" si="14"/>
        <v>35771.180379999991</v>
      </c>
      <c r="J20" s="15">
        <f t="shared" si="2"/>
        <v>106.77930301657091</v>
      </c>
      <c r="K20" s="16"/>
      <c r="L20" s="15">
        <f>[5]FP!$U$14</f>
        <v>82875.004420000012</v>
      </c>
      <c r="M20" s="15">
        <f>[3]REG1!L20</f>
        <v>98394.211909999998</v>
      </c>
      <c r="N20" s="15">
        <f t="shared" si="3"/>
        <v>-15519.207489999986</v>
      </c>
      <c r="O20" s="15">
        <f t="shared" si="4"/>
        <v>-15.772480096893524</v>
      </c>
      <c r="P20" s="16"/>
      <c r="Q20" s="15">
        <f>[6]FP!$U$14</f>
        <v>60484.922000000006</v>
      </c>
      <c r="R20" s="15">
        <f>[3]REG1!Q20</f>
        <v>60834.154760000005</v>
      </c>
      <c r="S20" s="15">
        <f t="shared" si="5"/>
        <v>-349.23275999999896</v>
      </c>
      <c r="T20" s="15">
        <f t="shared" si="6"/>
        <v>-0.57407349765567606</v>
      </c>
      <c r="U20" s="16"/>
      <c r="V20" s="15">
        <f>[7]FP!$U$14</f>
        <v>36486.336159999999</v>
      </c>
      <c r="W20" s="15">
        <f>[3]REG1!V20</f>
        <v>50745.81381</v>
      </c>
      <c r="X20" s="15">
        <f t="shared" si="7"/>
        <v>-14259.477650000001</v>
      </c>
      <c r="Y20" s="15">
        <f t="shared" si="8"/>
        <v>-28.099810761513531</v>
      </c>
      <c r="Z20" s="16"/>
      <c r="AA20" s="15">
        <f>[8]FP!$U$14</f>
        <v>91627.115330000001</v>
      </c>
      <c r="AB20" s="15">
        <f>[3]REG1!AA20</f>
        <v>84952.792969999995</v>
      </c>
      <c r="AC20" s="15">
        <f t="shared" si="9"/>
        <v>6674.3223600000056</v>
      </c>
      <c r="AD20" s="15">
        <f t="shared" si="10"/>
        <v>7.8565072749956073</v>
      </c>
      <c r="AE20" s="16"/>
      <c r="AF20" s="15">
        <f>G20+L20+Q20+B20+V20+AA20</f>
        <v>422710.91525000002</v>
      </c>
      <c r="AG20" s="15">
        <f>H20+M20+R20+C20+W20+AB20</f>
        <v>408158.82053000003</v>
      </c>
      <c r="AH20" s="15">
        <f t="shared" si="12"/>
        <v>14552.094719999994</v>
      </c>
      <c r="AI20" s="15">
        <f t="shared" si="13"/>
        <v>3.5653020314748782</v>
      </c>
    </row>
    <row r="21" spans="1:37" x14ac:dyDescent="0.2">
      <c r="A21" s="14" t="s">
        <v>21</v>
      </c>
      <c r="B21" s="15">
        <f>B19+B20</f>
        <v>4296539.1880299998</v>
      </c>
      <c r="C21" s="15">
        <f>[3]REG1!B21</f>
        <v>4743166.2216599993</v>
      </c>
      <c r="D21" s="15">
        <f t="shared" si="0"/>
        <v>-446627.0336299995</v>
      </c>
      <c r="E21" s="15">
        <f t="shared" si="1"/>
        <v>-9.4162214174667973</v>
      </c>
      <c r="F21" s="16"/>
      <c r="G21" s="15">
        <f>G19+G20</f>
        <v>2455452.3566300003</v>
      </c>
      <c r="H21" s="15">
        <f>[3]REG1!G21</f>
        <v>3011500.53045</v>
      </c>
      <c r="I21" s="15">
        <f t="shared" si="14"/>
        <v>-556048.17381999968</v>
      </c>
      <c r="J21" s="15">
        <f t="shared" si="2"/>
        <v>-18.464156595612852</v>
      </c>
      <c r="K21" s="16"/>
      <c r="L21" s="15">
        <f>L19+L20</f>
        <v>2763233.5940700001</v>
      </c>
      <c r="M21" s="15">
        <f>[3]REG1!L21</f>
        <v>2986488.0728499996</v>
      </c>
      <c r="N21" s="15">
        <f t="shared" si="3"/>
        <v>-223254.47877999954</v>
      </c>
      <c r="O21" s="15">
        <f t="shared" si="4"/>
        <v>-7.4754853638825436</v>
      </c>
      <c r="P21" s="16"/>
      <c r="Q21" s="15">
        <f>Q19+Q20</f>
        <v>2211852.3146799994</v>
      </c>
      <c r="R21" s="15">
        <f>[3]REG1!Q21</f>
        <v>2242040.2022699998</v>
      </c>
      <c r="S21" s="15">
        <f t="shared" si="5"/>
        <v>-30187.887590000406</v>
      </c>
      <c r="T21" s="15">
        <f t="shared" si="6"/>
        <v>-1.3464472028394521</v>
      </c>
      <c r="U21" s="16"/>
      <c r="V21" s="15">
        <f>V19+V20</f>
        <v>1286826.0677500002</v>
      </c>
      <c r="W21" s="15">
        <f>[3]REG1!V21</f>
        <v>1426391.4141799998</v>
      </c>
      <c r="X21" s="15">
        <f t="shared" si="7"/>
        <v>-139565.34642999968</v>
      </c>
      <c r="Y21" s="15">
        <f t="shared" si="8"/>
        <v>-9.7845055040682958</v>
      </c>
      <c r="Z21" s="16"/>
      <c r="AA21" s="15">
        <f>AA19+AA20</f>
        <v>3899010.0895100008</v>
      </c>
      <c r="AB21" s="15">
        <f>[3]REG1!AA21</f>
        <v>4142411.0806899993</v>
      </c>
      <c r="AC21" s="15">
        <f t="shared" si="9"/>
        <v>-243400.9911799985</v>
      </c>
      <c r="AD21" s="15">
        <f t="shared" si="10"/>
        <v>-5.8758289903824634</v>
      </c>
      <c r="AE21" s="16"/>
      <c r="AF21" s="15">
        <f>AF19+AF20</f>
        <v>16912913.61067</v>
      </c>
      <c r="AG21" s="15">
        <f>AG19+AG20</f>
        <v>18551997.522099994</v>
      </c>
      <c r="AH21" s="15">
        <f t="shared" si="12"/>
        <v>-1639083.9114299938</v>
      </c>
      <c r="AI21" s="15">
        <f t="shared" si="13"/>
        <v>-8.8350804784090862</v>
      </c>
    </row>
    <row r="22" spans="1:37" x14ac:dyDescent="0.2">
      <c r="A22" s="14" t="s">
        <v>22</v>
      </c>
      <c r="B22" s="15">
        <f>[2]FP!$U$16</f>
        <v>4211071.0249899998</v>
      </c>
      <c r="C22" s="15">
        <f>[3]REG1!B22</f>
        <v>4402244.8507000003</v>
      </c>
      <c r="D22" s="15">
        <f t="shared" si="0"/>
        <v>-191173.82571000047</v>
      </c>
      <c r="E22" s="15">
        <f t="shared" si="1"/>
        <v>-4.3426440871320899</v>
      </c>
      <c r="F22" s="16"/>
      <c r="G22" s="19">
        <f>[4]FP!$U$16</f>
        <v>2402793.3721900005</v>
      </c>
      <c r="H22" s="19">
        <f>[3]REG1!G22</f>
        <v>2639337.8332799999</v>
      </c>
      <c r="I22" s="15">
        <f t="shared" si="14"/>
        <v>-236544.46108999941</v>
      </c>
      <c r="J22" s="15">
        <f t="shared" si="2"/>
        <v>-8.9622653874527742</v>
      </c>
      <c r="K22" s="16"/>
      <c r="L22" s="15">
        <f>[5]FP!$U$16</f>
        <v>2349021.3320199996</v>
      </c>
      <c r="M22" s="15">
        <f>[3]REG1!L22</f>
        <v>2578766.3223999999</v>
      </c>
      <c r="N22" s="15">
        <f t="shared" si="3"/>
        <v>-229744.99038000032</v>
      </c>
      <c r="O22" s="15">
        <f t="shared" si="4"/>
        <v>-8.9091046514901677</v>
      </c>
      <c r="P22" s="16"/>
      <c r="Q22" s="15">
        <f>[6]FP!$U$16</f>
        <v>1879151.5875600001</v>
      </c>
      <c r="R22" s="15">
        <f>[3]REG1!Q22</f>
        <v>1958915.5019</v>
      </c>
      <c r="S22" s="15">
        <f t="shared" si="5"/>
        <v>-79763.914339999901</v>
      </c>
      <c r="T22" s="15">
        <f t="shared" si="6"/>
        <v>-4.0718404781949467</v>
      </c>
      <c r="U22" s="16"/>
      <c r="V22" s="15">
        <f>[7]FP!$U$16</f>
        <v>1118404.6812</v>
      </c>
      <c r="W22" s="15">
        <f>[3]REG1!V22</f>
        <v>1240667.2469500001</v>
      </c>
      <c r="X22" s="15">
        <f t="shared" si="7"/>
        <v>-122262.56575000007</v>
      </c>
      <c r="Y22" s="15">
        <f t="shared" si="8"/>
        <v>-9.8545815608951397</v>
      </c>
      <c r="Z22" s="16"/>
      <c r="AA22" s="15">
        <f>[8]FP!$U$16</f>
        <v>3217257.1851999997</v>
      </c>
      <c r="AB22" s="15">
        <f>[3]REG1!AA22</f>
        <v>3478162.9057600005</v>
      </c>
      <c r="AC22" s="15">
        <f t="shared" si="9"/>
        <v>-260905.72056000074</v>
      </c>
      <c r="AD22" s="15">
        <f t="shared" si="10"/>
        <v>-7.5012507357814853</v>
      </c>
      <c r="AE22" s="16"/>
      <c r="AF22" s="15">
        <f>G22+L22+Q22+B22+V22+AA22</f>
        <v>15177699.18316</v>
      </c>
      <c r="AG22" s="15">
        <f>H22+M22+R22+C22+W22+AB22</f>
        <v>16298094.66099</v>
      </c>
      <c r="AH22" s="15">
        <f t="shared" si="12"/>
        <v>-1120395.4778300002</v>
      </c>
      <c r="AI22" s="15">
        <f t="shared" si="13"/>
        <v>-6.8743954501117353</v>
      </c>
      <c r="AK22" s="17"/>
    </row>
    <row r="23" spans="1:37" x14ac:dyDescent="0.2">
      <c r="A23" s="14" t="s">
        <v>23</v>
      </c>
      <c r="B23" s="15">
        <f>ROUND((B22/B21*100),0)</f>
        <v>98</v>
      </c>
      <c r="C23" s="15">
        <f>[3]REG1!B23</f>
        <v>93</v>
      </c>
      <c r="D23" s="15"/>
      <c r="E23" s="15">
        <f>B23-C23</f>
        <v>5</v>
      </c>
      <c r="F23" s="16"/>
      <c r="G23" s="15">
        <f>ROUND((G22/G21*100),0)</f>
        <v>98</v>
      </c>
      <c r="H23" s="15">
        <f>[3]REG1!G23</f>
        <v>88</v>
      </c>
      <c r="I23" s="15"/>
      <c r="J23" s="15">
        <f>G23-H23</f>
        <v>10</v>
      </c>
      <c r="K23" s="16"/>
      <c r="L23" s="15">
        <f>ROUND((L22/L21*100),0)</f>
        <v>85</v>
      </c>
      <c r="M23" s="15">
        <f>[3]REG1!L23</f>
        <v>86</v>
      </c>
      <c r="N23" s="15"/>
      <c r="O23" s="15">
        <f>L23-M23</f>
        <v>-1</v>
      </c>
      <c r="P23" s="16"/>
      <c r="Q23" s="15">
        <f>ROUND((Q22/Q21*100),0)</f>
        <v>85</v>
      </c>
      <c r="R23" s="15">
        <f>[3]REG1!Q23</f>
        <v>87</v>
      </c>
      <c r="S23" s="15"/>
      <c r="T23" s="15">
        <f>Q23-R23</f>
        <v>-2</v>
      </c>
      <c r="U23" s="16"/>
      <c r="V23" s="15">
        <f>ROUND((V22/V21*100),0)</f>
        <v>87</v>
      </c>
      <c r="W23" s="15">
        <f>[3]REG1!V23</f>
        <v>87</v>
      </c>
      <c r="X23" s="15"/>
      <c r="Y23" s="15">
        <f>V23-W23</f>
        <v>0</v>
      </c>
      <c r="Z23" s="16"/>
      <c r="AA23" s="15">
        <f>ROUND((AA22/AA21*100),0)</f>
        <v>83</v>
      </c>
      <c r="AB23" s="15">
        <f>[3]REG1!AA23</f>
        <v>84</v>
      </c>
      <c r="AC23" s="15"/>
      <c r="AD23" s="15">
        <f>AA23-AB23</f>
        <v>-1</v>
      </c>
      <c r="AE23" s="16"/>
      <c r="AF23" s="15">
        <f>ROUND((AF22/AF21*100),0)</f>
        <v>90</v>
      </c>
      <c r="AG23" s="15">
        <f>ROUND((AG22/AG21*100),0)</f>
        <v>88</v>
      </c>
      <c r="AH23" s="15"/>
      <c r="AI23" s="15">
        <f>AF23-AG23</f>
        <v>2</v>
      </c>
    </row>
    <row r="24" spans="1:37" x14ac:dyDescent="0.2">
      <c r="A24" s="14" t="s">
        <v>24</v>
      </c>
      <c r="B24" s="15">
        <f>[2]FP!$U$18</f>
        <v>341105.70339000004</v>
      </c>
      <c r="C24" s="15">
        <f>[3]REG1!B24</f>
        <v>313487.43112999998</v>
      </c>
      <c r="D24" s="15">
        <f t="shared" si="0"/>
        <v>27618.272260000056</v>
      </c>
      <c r="E24" s="15">
        <f>D24/C24*100</f>
        <v>8.810009434970631</v>
      </c>
      <c r="F24" s="16"/>
      <c r="G24" s="15">
        <f>[4]FP!$U$18</f>
        <v>213159.86446000001</v>
      </c>
      <c r="H24" s="15">
        <f>[3]REG1!G24</f>
        <v>162010.91042000003</v>
      </c>
      <c r="I24" s="15">
        <f>G24-H24</f>
        <v>51148.954039999982</v>
      </c>
      <c r="J24" s="15">
        <f>I24/H24*100</f>
        <v>31.571302147121145</v>
      </c>
      <c r="K24" s="16"/>
      <c r="L24" s="15">
        <f>[5]FP!$U$18</f>
        <v>308495.73931999994</v>
      </c>
      <c r="M24" s="15">
        <f>[3]REG1!L24</f>
        <v>290311.92430000001</v>
      </c>
      <c r="N24" s="15">
        <f t="shared" si="3"/>
        <v>18183.815019999922</v>
      </c>
      <c r="O24" s="15">
        <f>N24/M24*100</f>
        <v>6.2635439670088404</v>
      </c>
      <c r="P24" s="16"/>
      <c r="Q24" s="15">
        <f>[6]FP!$U$18</f>
        <v>248809.05715999997</v>
      </c>
      <c r="R24" s="15">
        <f>[3]REG1!Q24</f>
        <v>224875.25296999997</v>
      </c>
      <c r="S24" s="15">
        <f t="shared" si="5"/>
        <v>23933.804189999995</v>
      </c>
      <c r="T24" s="15">
        <f>S24/R24*100</f>
        <v>10.643147200013575</v>
      </c>
      <c r="U24" s="16"/>
      <c r="V24" s="15">
        <f>[7]FP!$U$18</f>
        <v>180088.69072000001</v>
      </c>
      <c r="W24" s="15">
        <f>[3]REG1!V24</f>
        <v>142020.80275999999</v>
      </c>
      <c r="X24" s="15">
        <f t="shared" si="7"/>
        <v>38067.887960000022</v>
      </c>
      <c r="Y24" s="15">
        <f>79-74</f>
        <v>5</v>
      </c>
      <c r="Z24" s="16"/>
      <c r="AA24" s="15">
        <f>[8]FP!$U$18</f>
        <v>326402.52545000002</v>
      </c>
      <c r="AB24" s="15">
        <f>[3]REG1!AA24</f>
        <v>311714.98350999999</v>
      </c>
      <c r="AC24" s="15">
        <f t="shared" si="9"/>
        <v>14687.541940000025</v>
      </c>
      <c r="AD24" s="15">
        <f>79-74</f>
        <v>5</v>
      </c>
      <c r="AE24" s="16"/>
      <c r="AF24" s="15">
        <f>+B24+G24+L24+Q24+V24+AA24</f>
        <v>1618061.5804999999</v>
      </c>
      <c r="AG24" s="15">
        <f>+C24+H24+M24+R24+W24+AB24</f>
        <v>1444421.3050900002</v>
      </c>
      <c r="AH24" s="15">
        <f t="shared" si="12"/>
        <v>173640.27540999977</v>
      </c>
      <c r="AI24" s="15">
        <f>AH24/AG24*100</f>
        <v>12.021442414211721</v>
      </c>
      <c r="AK24" s="17"/>
    </row>
    <row r="25" spans="1:37" x14ac:dyDescent="0.2">
      <c r="A25" s="14" t="s">
        <v>23</v>
      </c>
      <c r="B25" s="15">
        <f>ROUND((B24/B21*100),0)</f>
        <v>8</v>
      </c>
      <c r="C25" s="15">
        <f>[3]REG1!B25</f>
        <v>7</v>
      </c>
      <c r="D25" s="15"/>
      <c r="E25" s="15">
        <f>B25-C25</f>
        <v>1</v>
      </c>
      <c r="F25" s="16"/>
      <c r="G25" s="15">
        <f>ROUND((G24/G21*100),0)</f>
        <v>9</v>
      </c>
      <c r="H25" s="15">
        <f>[3]REG1!G25</f>
        <v>5</v>
      </c>
      <c r="I25" s="15"/>
      <c r="J25" s="15">
        <f>G25-H25</f>
        <v>4</v>
      </c>
      <c r="K25" s="16"/>
      <c r="L25" s="15">
        <f>ROUND((L24/L21*100),0)</f>
        <v>11</v>
      </c>
      <c r="M25" s="15">
        <f>[3]REG1!L25</f>
        <v>10</v>
      </c>
      <c r="N25" s="15"/>
      <c r="O25" s="15">
        <f>L25-M25</f>
        <v>1</v>
      </c>
      <c r="P25" s="16"/>
      <c r="Q25" s="15">
        <f>ROUND((Q24/Q21*100),0)</f>
        <v>11</v>
      </c>
      <c r="R25" s="15">
        <f>[3]REG1!Q25</f>
        <v>10</v>
      </c>
      <c r="S25" s="15"/>
      <c r="T25" s="15">
        <f>Q25-R25</f>
        <v>1</v>
      </c>
      <c r="U25" s="16"/>
      <c r="V25" s="15">
        <f>ROUND((V24/V21*100),0)</f>
        <v>14</v>
      </c>
      <c r="W25" s="15">
        <f>[3]REG1!V25</f>
        <v>10</v>
      </c>
      <c r="X25" s="15"/>
      <c r="Y25" s="15">
        <f>V25-W25</f>
        <v>4</v>
      </c>
      <c r="Z25" s="16"/>
      <c r="AA25" s="15">
        <f>ROUND((AA24/AA21*100),0)</f>
        <v>8</v>
      </c>
      <c r="AB25" s="15">
        <f>[3]REG1!AA25</f>
        <v>8</v>
      </c>
      <c r="AC25" s="15"/>
      <c r="AD25" s="15">
        <f>AA25-AB25</f>
        <v>0</v>
      </c>
      <c r="AE25" s="16"/>
      <c r="AF25" s="15">
        <f>ROUND((AF24/AF21*100),0)</f>
        <v>10</v>
      </c>
      <c r="AG25" s="15">
        <f>ROUND((AG24/AG21*100),0)</f>
        <v>8</v>
      </c>
      <c r="AH25" s="15"/>
      <c r="AI25" s="15">
        <f>AF25-AG25</f>
        <v>2</v>
      </c>
      <c r="AK25" s="20"/>
    </row>
    <row r="26" spans="1:37" x14ac:dyDescent="0.2">
      <c r="A26" s="14" t="s">
        <v>25</v>
      </c>
      <c r="B26" s="15">
        <f>+B21-B22-B24</f>
        <v>-255637.54035000002</v>
      </c>
      <c r="C26" s="15">
        <f>[3]REG1!B26</f>
        <v>27433.939829999057</v>
      </c>
      <c r="D26" s="15">
        <f>B26-C26</f>
        <v>-283071.48017999908</v>
      </c>
      <c r="E26" s="15">
        <f>D26/C26*100</f>
        <v>-1031.8294854261508</v>
      </c>
      <c r="F26" s="16"/>
      <c r="G26" s="15">
        <f>+G21-G22-G24</f>
        <v>-160500.88002000022</v>
      </c>
      <c r="H26" s="15">
        <f>[3]REG1!G26</f>
        <v>210151.78675000003</v>
      </c>
      <c r="I26" s="15">
        <f>G26-H26</f>
        <v>-370652.66677000024</v>
      </c>
      <c r="J26" s="15">
        <f>I26/H26*100</f>
        <v>-176.37378796637816</v>
      </c>
      <c r="K26" s="16"/>
      <c r="L26" s="15">
        <f>+L21-L22-L24</f>
        <v>105716.52273000055</v>
      </c>
      <c r="M26" s="15">
        <f>[3]REG1!L26</f>
        <v>117409.82614999969</v>
      </c>
      <c r="N26" s="15">
        <f t="shared" ref="N26:N32" si="15">L26-M26</f>
        <v>-11693.303419999138</v>
      </c>
      <c r="O26" s="15">
        <f>N26/M26*100</f>
        <v>-9.9593907966954003</v>
      </c>
      <c r="P26" s="16"/>
      <c r="Q26" s="15">
        <f>+Q21-Q22-Q24</f>
        <v>83891.669959999272</v>
      </c>
      <c r="R26" s="15">
        <f>[3]REG1!Q26</f>
        <v>58249.447399999772</v>
      </c>
      <c r="S26" s="15">
        <f t="shared" ref="S26:S32" si="16">Q26-R26</f>
        <v>25642.2225599995</v>
      </c>
      <c r="T26" s="15">
        <f>S26/R26*100</f>
        <v>44.021400553234436</v>
      </c>
      <c r="U26" s="16"/>
      <c r="V26" s="15">
        <f>+V21-V22-V24</f>
        <v>-11667.304169999843</v>
      </c>
      <c r="W26" s="15">
        <f>[3]REG1!V26</f>
        <v>43703.364469999797</v>
      </c>
      <c r="X26" s="15">
        <f t="shared" ref="X26:X32" si="17">V26-W26</f>
        <v>-55370.66863999964</v>
      </c>
      <c r="Y26" s="15">
        <f>X26/W26*100</f>
        <v>-126.69658117056153</v>
      </c>
      <c r="Z26" s="16"/>
      <c r="AA26" s="15">
        <f>+AA21-AA22-AA24</f>
        <v>355350.37886000104</v>
      </c>
      <c r="AB26" s="15">
        <f>[3]REG1!AA26</f>
        <v>352533.19141999882</v>
      </c>
      <c r="AC26" s="15">
        <f>AA26-AB26</f>
        <v>2817.1874400022207</v>
      </c>
      <c r="AD26" s="15">
        <f>AC26/AB26*100</f>
        <v>0.79912686480799966</v>
      </c>
      <c r="AE26" s="16"/>
      <c r="AF26" s="15">
        <f>AF21-AF22-AF24</f>
        <v>117152.84701000084</v>
      </c>
      <c r="AG26" s="15">
        <f>AG21-AG22-AG24</f>
        <v>809481.5560199942</v>
      </c>
      <c r="AH26" s="15">
        <f>AF26-AG26</f>
        <v>-692328.70900999336</v>
      </c>
      <c r="AI26" s="15">
        <f>AH26/AG26*100</f>
        <v>-85.527422318797448</v>
      </c>
      <c r="AK26" s="17"/>
    </row>
    <row r="27" spans="1:37" x14ac:dyDescent="0.2">
      <c r="A27" s="14" t="s">
        <v>26</v>
      </c>
      <c r="B27" s="15">
        <f>[2]FP!U21</f>
        <v>88099.046199999997</v>
      </c>
      <c r="C27" s="15">
        <f>[3]REG1!B27</f>
        <v>93084.216889999996</v>
      </c>
      <c r="D27" s="15">
        <f>B27-C27</f>
        <v>-4985.170689999999</v>
      </c>
      <c r="E27" s="15">
        <f>D27/C27*100</f>
        <v>-5.3555488315394033</v>
      </c>
      <c r="F27" s="16"/>
      <c r="G27" s="15">
        <f>[4]FP!U21</f>
        <v>63926.049630000001</v>
      </c>
      <c r="H27" s="15">
        <f>[3]REG1!G27</f>
        <v>59979.031470000002</v>
      </c>
      <c r="I27" s="15">
        <f>G27-H27</f>
        <v>3947.0181599999996</v>
      </c>
      <c r="J27" s="15">
        <f>I27/H27*100</f>
        <v>6.5806633806252748</v>
      </c>
      <c r="K27" s="16"/>
      <c r="L27" s="15">
        <f>[5]FP!U21</f>
        <v>39987.892950000001</v>
      </c>
      <c r="M27" s="15">
        <f>[3]REG1!L27</f>
        <v>43146.217139999993</v>
      </c>
      <c r="N27" s="15">
        <f t="shared" si="15"/>
        <v>-3158.3241899999921</v>
      </c>
      <c r="O27" s="15">
        <f>N27/M27*100</f>
        <v>-7.3200488927034417</v>
      </c>
      <c r="P27" s="16"/>
      <c r="Q27" s="15">
        <f>[6]FP!U21</f>
        <v>61917.819559999996</v>
      </c>
      <c r="R27" s="15">
        <f>[3]REG1!Q27</f>
        <v>63286.412839999997</v>
      </c>
      <c r="S27" s="15">
        <f t="shared" si="16"/>
        <v>-1368.593280000001</v>
      </c>
      <c r="T27" s="15">
        <f>S27/R27*100</f>
        <v>-2.1625388745923448</v>
      </c>
      <c r="U27" s="16"/>
      <c r="V27" s="15">
        <f>[7]FP!U21</f>
        <v>43997.126619999995</v>
      </c>
      <c r="W27" s="15">
        <f>[3]REG1!V27</f>
        <v>45268.432809999998</v>
      </c>
      <c r="X27" s="15">
        <f t="shared" si="17"/>
        <v>-1271.306190000003</v>
      </c>
      <c r="Y27" s="15">
        <f>X27/W27*100</f>
        <v>-2.8083724376673489</v>
      </c>
      <c r="Z27" s="16"/>
      <c r="AA27" s="15">
        <f>[8]FP!U21</f>
        <v>81896.254329999996</v>
      </c>
      <c r="AB27" s="15">
        <f>[3]REG1!AA27</f>
        <v>79928.162320000003</v>
      </c>
      <c r="AC27" s="15">
        <f>AA27-AB27</f>
        <v>1968.092009999993</v>
      </c>
      <c r="AD27" s="15">
        <f>AC27/AB27*100</f>
        <v>2.4623261099392595</v>
      </c>
      <c r="AE27" s="16"/>
      <c r="AF27" s="15">
        <f>G27+L27+Q27+B27+V27+AA27</f>
        <v>379824.18929000001</v>
      </c>
      <c r="AG27" s="15">
        <f>H27+M27+R27+C27+W27+AB27</f>
        <v>384692.47346999997</v>
      </c>
      <c r="AH27" s="15">
        <f>AF27-AG27</f>
        <v>-4868.2841799999587</v>
      </c>
      <c r="AI27" s="15">
        <f>AH27/AG27*100</f>
        <v>-1.2655002412932856</v>
      </c>
      <c r="AK27" s="17"/>
    </row>
    <row r="28" spans="1:37" x14ac:dyDescent="0.2">
      <c r="A28" s="14" t="s">
        <v>27</v>
      </c>
      <c r="B28" s="15">
        <f>[2]FP!U22</f>
        <v>19317.892939999998</v>
      </c>
      <c r="C28" s="15">
        <f>[3]REG1!B28</f>
        <v>14348.172490000001</v>
      </c>
      <c r="D28" s="15">
        <f>B28-C28</f>
        <v>4969.7204499999971</v>
      </c>
      <c r="E28" s="15">
        <f>D28/C28*100</f>
        <v>34.636609320550463</v>
      </c>
      <c r="F28" s="16"/>
      <c r="G28" s="15">
        <f>[4]FP!U22</f>
        <v>9299.1058300000004</v>
      </c>
      <c r="H28" s="15">
        <f>[3]REG1!G28</f>
        <v>10765.1931</v>
      </c>
      <c r="I28" s="15">
        <f>G28-H28</f>
        <v>-1466.08727</v>
      </c>
      <c r="J28" s="15">
        <f>I28/H28*100</f>
        <v>-13.618773545269708</v>
      </c>
      <c r="K28" s="16"/>
      <c r="L28" s="15">
        <f>[5]FP!U22</f>
        <v>949.33637999999996</v>
      </c>
      <c r="M28" s="15">
        <f>[3]REG1!L28</f>
        <v>1617.8204300000002</v>
      </c>
      <c r="N28" s="15">
        <f t="shared" si="15"/>
        <v>-668.48405000000025</v>
      </c>
      <c r="O28" s="15">
        <f>N28/M28*100</f>
        <v>-41.320040073916005</v>
      </c>
      <c r="P28" s="16"/>
      <c r="Q28" s="15">
        <f>[6]FP!U22</f>
        <v>15779.143550000001</v>
      </c>
      <c r="R28" s="15">
        <f>[3]REG1!Q28</f>
        <v>15518.487669999999</v>
      </c>
      <c r="S28" s="15">
        <f t="shared" si="16"/>
        <v>260.65588000000207</v>
      </c>
      <c r="T28" s="15">
        <f>S28/R28*100</f>
        <v>1.6796474343559669</v>
      </c>
      <c r="U28" s="16"/>
      <c r="V28" s="15">
        <f>[7]FP!U22</f>
        <v>14706.69097</v>
      </c>
      <c r="W28" s="15">
        <f>[3]REG1!V28</f>
        <v>16980.768920000002</v>
      </c>
      <c r="X28" s="15">
        <f t="shared" si="17"/>
        <v>-2274.0779500000026</v>
      </c>
      <c r="Y28" s="15">
        <f>X28/W28*100</f>
        <v>-13.392078772838056</v>
      </c>
      <c r="Z28" s="16"/>
      <c r="AA28" s="15">
        <f>[8]FP!U22</f>
        <v>2954.4987799999999</v>
      </c>
      <c r="AB28" s="15">
        <f>[3]REG1!AA28</f>
        <v>3289.7838399999996</v>
      </c>
      <c r="AC28" s="15">
        <f>AA28-AB28</f>
        <v>-335.2850599999997</v>
      </c>
      <c r="AD28" s="15">
        <f>AC28/AB28*100</f>
        <v>-10.191704875053425</v>
      </c>
      <c r="AE28" s="16"/>
      <c r="AF28" s="15">
        <f>G28+L28+Q28+B28+V28+AA28</f>
        <v>63006.668450000005</v>
      </c>
      <c r="AG28" s="15">
        <f>H28+M28+R28+C28+W28+AB28</f>
        <v>62520.226449999995</v>
      </c>
      <c r="AH28" s="15">
        <f>AF28-AG28</f>
        <v>486.44200000001001</v>
      </c>
      <c r="AI28" s="15">
        <f>AH28/AG28*100</f>
        <v>0.77805540322064848</v>
      </c>
      <c r="AK28" s="17"/>
    </row>
    <row r="29" spans="1:37" x14ac:dyDescent="0.2">
      <c r="A29" s="14" t="s">
        <v>28</v>
      </c>
      <c r="B29" s="15">
        <f>+B26-B27-B28</f>
        <v>-363054.47949</v>
      </c>
      <c r="C29" s="15">
        <f>[3]REG1!B29</f>
        <v>-79998.449550000936</v>
      </c>
      <c r="D29" s="15">
        <f>B29-C29</f>
        <v>-283056.02993999905</v>
      </c>
      <c r="E29" s="15">
        <f>D29/C29*100</f>
        <v>353.82689481135793</v>
      </c>
      <c r="F29" s="16"/>
      <c r="G29" s="15">
        <f>+G26-G27-G28</f>
        <v>-233726.0354800002</v>
      </c>
      <c r="H29" s="15">
        <f>[3]REG1!G29</f>
        <v>139407.56218000004</v>
      </c>
      <c r="I29" s="15">
        <f>G29-H29</f>
        <v>-373133.5976600002</v>
      </c>
      <c r="J29" s="15">
        <f>I29/H29*100</f>
        <v>-267.65664059042808</v>
      </c>
      <c r="K29" s="16"/>
      <c r="L29" s="15">
        <f>+L26-L27-L28</f>
        <v>64779.293400000541</v>
      </c>
      <c r="M29" s="15">
        <f>[3]REG1!L29</f>
        <v>72645.788579999687</v>
      </c>
      <c r="N29" s="15">
        <f t="shared" si="15"/>
        <v>-7866.4951799991468</v>
      </c>
      <c r="O29" s="15">
        <f>N29/M29*100</f>
        <v>-10.828563270858201</v>
      </c>
      <c r="P29" s="16"/>
      <c r="Q29" s="15">
        <f>+Q26-Q27-Q28</f>
        <v>6194.7068499992747</v>
      </c>
      <c r="R29" s="15">
        <f>[3]REG1!Q29</f>
        <v>-20555.453110000224</v>
      </c>
      <c r="S29" s="15">
        <f t="shared" si="16"/>
        <v>26750.159959999499</v>
      </c>
      <c r="T29" s="15">
        <f>S29/R29*100</f>
        <v>-130.13656189843636</v>
      </c>
      <c r="U29" s="16"/>
      <c r="V29" s="15">
        <f>+V26-V27-V28</f>
        <v>-70371.121759999834</v>
      </c>
      <c r="W29" s="15">
        <f>[3]REG1!V29</f>
        <v>-18545.837260000204</v>
      </c>
      <c r="X29" s="15">
        <f t="shared" si="17"/>
        <v>-51825.28449999963</v>
      </c>
      <c r="Y29" s="15">
        <f>X29/W29*100</f>
        <v>279.44429670898052</v>
      </c>
      <c r="Z29" s="16"/>
      <c r="AA29" s="15">
        <f>+AA26-AA27-AA28</f>
        <v>270499.62575000105</v>
      </c>
      <c r="AB29" s="15">
        <f>[3]REG1!AA29</f>
        <v>269315.24525999883</v>
      </c>
      <c r="AC29" s="15">
        <f>AA29-AB29</f>
        <v>1184.3804900022224</v>
      </c>
      <c r="AD29" s="15">
        <f>AC29/AB29*100</f>
        <v>0.43977476613283178</v>
      </c>
      <c r="AE29" s="16"/>
      <c r="AF29" s="15">
        <f>AF26-AF27-AF28</f>
        <v>-325678.01072999917</v>
      </c>
      <c r="AG29" s="15">
        <f>AG26-AG27-AG28</f>
        <v>362268.85609999421</v>
      </c>
      <c r="AH29" s="15">
        <f>AF29-AG29</f>
        <v>-687946.86682999344</v>
      </c>
      <c r="AI29" s="15">
        <f>AH29/AG29*100</f>
        <v>-189.89953324613279</v>
      </c>
    </row>
    <row r="30" spans="1:37" x14ac:dyDescent="0.2">
      <c r="A30" s="14" t="s">
        <v>23</v>
      </c>
      <c r="B30" s="15">
        <f>ROUND((B29/B21*100),0)</f>
        <v>-8</v>
      </c>
      <c r="C30" s="15">
        <f>[3]REG1!B30</f>
        <v>-2</v>
      </c>
      <c r="D30" s="15"/>
      <c r="E30" s="15">
        <f>B30-C30</f>
        <v>-6</v>
      </c>
      <c r="F30" s="16"/>
      <c r="G30" s="15">
        <f>ROUND((G29/G21*100),0)</f>
        <v>-10</v>
      </c>
      <c r="H30" s="15">
        <f>[3]REG1!G30</f>
        <v>5</v>
      </c>
      <c r="I30" s="15"/>
      <c r="J30" s="15">
        <f>G30-H30</f>
        <v>-15</v>
      </c>
      <c r="K30" s="16"/>
      <c r="L30" s="15">
        <f>ROUND((L29/L21*100),0)</f>
        <v>2</v>
      </c>
      <c r="M30" s="15">
        <f>[3]REG1!L30</f>
        <v>2</v>
      </c>
      <c r="N30" s="15"/>
      <c r="O30" s="15">
        <f>L30-M30</f>
        <v>0</v>
      </c>
      <c r="P30" s="16"/>
      <c r="Q30" s="15">
        <f>ROUND((Q29/Q21*100),0)</f>
        <v>0</v>
      </c>
      <c r="R30" s="15">
        <f>[3]REG1!Q30</f>
        <v>-1</v>
      </c>
      <c r="S30" s="15"/>
      <c r="T30" s="15">
        <f>Q30-R30</f>
        <v>1</v>
      </c>
      <c r="U30" s="16"/>
      <c r="V30" s="15">
        <f>ROUND((V29/V21*100),0)</f>
        <v>-5</v>
      </c>
      <c r="W30" s="15">
        <f>[3]REG1!V30</f>
        <v>-1</v>
      </c>
      <c r="X30" s="15"/>
      <c r="Y30" s="15">
        <f>V30-W30</f>
        <v>-4</v>
      </c>
      <c r="Z30" s="16"/>
      <c r="AA30" s="15">
        <f>ROUND((AA29/AA21*100),0)</f>
        <v>7</v>
      </c>
      <c r="AB30" s="15">
        <f>[3]REG1!AA30</f>
        <v>7</v>
      </c>
      <c r="AC30" s="15"/>
      <c r="AD30" s="15">
        <f>AA30-AB30</f>
        <v>0</v>
      </c>
      <c r="AE30" s="16"/>
      <c r="AF30" s="15">
        <f>ROUND((AF29/AF21*100),0)</f>
        <v>-2</v>
      </c>
      <c r="AG30" s="15">
        <f>ROUND((AG29/AG21*100),0)</f>
        <v>2</v>
      </c>
      <c r="AH30" s="15"/>
      <c r="AI30" s="15">
        <f>AF30-AG30</f>
        <v>-4</v>
      </c>
    </row>
    <row r="31" spans="1:37" x14ac:dyDescent="0.2">
      <c r="A31" s="14" t="s">
        <v>29</v>
      </c>
      <c r="B31" s="15">
        <f>[2]FP!$U$25</f>
        <v>0</v>
      </c>
      <c r="C31" s="15">
        <f>[3]REG1!B31</f>
        <v>0</v>
      </c>
      <c r="D31" s="15">
        <f>B31-C31</f>
        <v>0</v>
      </c>
      <c r="E31" s="15"/>
      <c r="F31" s="16"/>
      <c r="G31" s="15">
        <f>[4]FP!$U$25</f>
        <v>7930.8296600000003</v>
      </c>
      <c r="H31" s="15">
        <f>[3]REG1!G31</f>
        <v>7517.8861000000006</v>
      </c>
      <c r="I31" s="15">
        <f>G31-H31</f>
        <v>412.94355999999971</v>
      </c>
      <c r="J31" s="15">
        <f>G31-H31</f>
        <v>412.94355999999971</v>
      </c>
      <c r="K31" s="16"/>
      <c r="L31" s="15">
        <f>[5]FP!$U$25</f>
        <v>14226.1345</v>
      </c>
      <c r="M31" s="15">
        <f>[3]REG1!L31</f>
        <v>14541.37947</v>
      </c>
      <c r="N31" s="15">
        <f t="shared" si="15"/>
        <v>-315.24496999999974</v>
      </c>
      <c r="O31" s="15">
        <f>N31/M31*100</f>
        <v>-2.1679165353629255</v>
      </c>
      <c r="P31" s="16"/>
      <c r="Q31" s="15">
        <f>[6]FP!$U$25</f>
        <v>0</v>
      </c>
      <c r="R31" s="15">
        <f>[3]REG1!Q31</f>
        <v>0</v>
      </c>
      <c r="S31" s="15">
        <f t="shared" si="16"/>
        <v>0</v>
      </c>
      <c r="T31" s="15">
        <f>Q31-R31</f>
        <v>0</v>
      </c>
      <c r="U31" s="16"/>
      <c r="V31" s="15">
        <f>[7]FP!$U$25</f>
        <v>812.60040000000004</v>
      </c>
      <c r="W31" s="15">
        <f>[3]REG1!V31</f>
        <v>142.81399999999999</v>
      </c>
      <c r="X31" s="15">
        <f t="shared" si="17"/>
        <v>669.78640000000007</v>
      </c>
      <c r="Y31" s="15">
        <f>V31-W31</f>
        <v>669.78640000000007</v>
      </c>
      <c r="Z31" s="16"/>
      <c r="AA31" s="15">
        <f>[8]FP!$U$25</f>
        <v>0</v>
      </c>
      <c r="AB31" s="15">
        <f>[3]REG1!AA31</f>
        <v>0</v>
      </c>
      <c r="AC31" s="15">
        <f>AA31-AB31</f>
        <v>0</v>
      </c>
      <c r="AD31" s="15">
        <f>AA31-AB31</f>
        <v>0</v>
      </c>
      <c r="AE31" s="16"/>
      <c r="AF31" s="15">
        <f>G31+L31+Q31+B31+V31+AA31</f>
        <v>22969.564559999999</v>
      </c>
      <c r="AG31" s="15">
        <f>H31+M31+R31+C31+W31+AB31</f>
        <v>22202.079569999998</v>
      </c>
      <c r="AH31" s="15">
        <f>AF31-AG31</f>
        <v>767.48499000000083</v>
      </c>
      <c r="AI31" s="15">
        <f>AH31/AG31*100</f>
        <v>3.4568157797121204</v>
      </c>
      <c r="AK31" s="17"/>
    </row>
    <row r="32" spans="1:37" x14ac:dyDescent="0.2">
      <c r="A32" s="14" t="s">
        <v>30</v>
      </c>
      <c r="B32" s="15">
        <f>B29-B31</f>
        <v>-363054.47949</v>
      </c>
      <c r="C32" s="15">
        <f>[3]REG1!B32</f>
        <v>-79998.449550000936</v>
      </c>
      <c r="D32" s="15">
        <f>B32-C32</f>
        <v>-283056.02993999905</v>
      </c>
      <c r="E32" s="15">
        <f>D32/C32*100</f>
        <v>353.82689481135793</v>
      </c>
      <c r="F32" s="16"/>
      <c r="G32" s="15">
        <f>G29-G31</f>
        <v>-241656.86514000018</v>
      </c>
      <c r="H32" s="15">
        <f>[3]REG1!G32</f>
        <v>131889.67608000003</v>
      </c>
      <c r="I32" s="15">
        <f>G32-H32</f>
        <v>-373546.54122000025</v>
      </c>
      <c r="J32" s="15">
        <f>I32/H32*100</f>
        <v>-283.22652107615983</v>
      </c>
      <c r="K32" s="16"/>
      <c r="L32" s="15">
        <f>L29-L31</f>
        <v>50553.158900000541</v>
      </c>
      <c r="M32" s="15">
        <f>[3]REG1!L32</f>
        <v>58104.409109999688</v>
      </c>
      <c r="N32" s="15">
        <f t="shared" si="15"/>
        <v>-7551.250209999147</v>
      </c>
      <c r="O32" s="15">
        <f>N32/M32*100</f>
        <v>-12.996002068799264</v>
      </c>
      <c r="P32" s="16"/>
      <c r="Q32" s="15">
        <f>Q29-Q31</f>
        <v>6194.7068499992747</v>
      </c>
      <c r="R32" s="15">
        <f>[3]REG1!Q32</f>
        <v>-20555.453110000224</v>
      </c>
      <c r="S32" s="15">
        <f t="shared" si="16"/>
        <v>26750.159959999499</v>
      </c>
      <c r="T32" s="15">
        <f>S32/R32*100</f>
        <v>-130.13656189843636</v>
      </c>
      <c r="U32" s="16"/>
      <c r="V32" s="15">
        <f>V29-V31</f>
        <v>-71183.72215999983</v>
      </c>
      <c r="W32" s="15">
        <f>[3]REG1!V32</f>
        <v>-18688.651260000202</v>
      </c>
      <c r="X32" s="15">
        <f t="shared" si="17"/>
        <v>-52495.070899999628</v>
      </c>
      <c r="Y32" s="15">
        <f>X32/W32*100</f>
        <v>280.89277374636532</v>
      </c>
      <c r="Z32" s="16"/>
      <c r="AA32" s="15">
        <f>AA29-AA31</f>
        <v>270499.62575000105</v>
      </c>
      <c r="AB32" s="15">
        <f>[3]REG1!AA32</f>
        <v>269315.24525999883</v>
      </c>
      <c r="AC32" s="15">
        <f>AA32-AB32</f>
        <v>1184.3804900022224</v>
      </c>
      <c r="AD32" s="15">
        <f>AC32/AB32*100</f>
        <v>0.43977476613283178</v>
      </c>
      <c r="AE32" s="16"/>
      <c r="AF32" s="15">
        <f>AF29-AF31</f>
        <v>-348647.57528999913</v>
      </c>
      <c r="AG32" s="15">
        <f>AG29-AG31</f>
        <v>340066.77652999421</v>
      </c>
      <c r="AH32" s="15">
        <f>AF32-AG32</f>
        <v>-688714.35181999335</v>
      </c>
      <c r="AI32" s="15">
        <f>AH32/AG32*100</f>
        <v>-202.52326876725871</v>
      </c>
      <c r="AK32" s="17"/>
    </row>
    <row r="33" spans="1:39" x14ac:dyDescent="0.2">
      <c r="A33" s="14" t="s">
        <v>23</v>
      </c>
      <c r="B33" s="15">
        <f>ROUND((B32/B21*100),0)</f>
        <v>-8</v>
      </c>
      <c r="C33" s="15">
        <f>[3]REG1!B33</f>
        <v>-2</v>
      </c>
      <c r="D33" s="15"/>
      <c r="E33" s="15">
        <f>B33-C33</f>
        <v>-6</v>
      </c>
      <c r="F33" s="16"/>
      <c r="G33" s="15">
        <f>ROUND((G32/G21*100),0)</f>
        <v>-10</v>
      </c>
      <c r="H33" s="15">
        <f>[3]REG1!G33</f>
        <v>4</v>
      </c>
      <c r="I33" s="15"/>
      <c r="J33" s="15">
        <f>G33-H33</f>
        <v>-14</v>
      </c>
      <c r="K33" s="16"/>
      <c r="L33" s="15">
        <f>ROUND((L32/L21*100),0)</f>
        <v>2</v>
      </c>
      <c r="M33" s="15">
        <f>[3]REG1!L33</f>
        <v>2</v>
      </c>
      <c r="N33" s="15"/>
      <c r="O33" s="15">
        <f>L33-M33</f>
        <v>0</v>
      </c>
      <c r="P33" s="16"/>
      <c r="Q33" s="15">
        <f>ROUND((Q32/Q21*100),0)</f>
        <v>0</v>
      </c>
      <c r="R33" s="15">
        <f>[3]REG1!Q33</f>
        <v>-1</v>
      </c>
      <c r="S33" s="15"/>
      <c r="T33" s="15">
        <f>Q33-R33</f>
        <v>1</v>
      </c>
      <c r="U33" s="16"/>
      <c r="V33" s="15">
        <f>ROUND((V32/V21*100),0)</f>
        <v>-6</v>
      </c>
      <c r="W33" s="15">
        <f>[3]REG1!V33</f>
        <v>-1</v>
      </c>
      <c r="X33" s="15"/>
      <c r="Y33" s="15">
        <f>V33-W33</f>
        <v>-5</v>
      </c>
      <c r="Z33" s="16"/>
      <c r="AA33" s="15">
        <f>ROUND((AA32/AA21*100),0)</f>
        <v>7</v>
      </c>
      <c r="AB33" s="15">
        <f>[3]REG1!AA33</f>
        <v>7</v>
      </c>
      <c r="AC33" s="15"/>
      <c r="AD33" s="15">
        <f>AA33-AB33</f>
        <v>0</v>
      </c>
      <c r="AE33" s="16"/>
      <c r="AF33" s="15">
        <f>ROUND((AF32/AF21*100),0)</f>
        <v>-2</v>
      </c>
      <c r="AG33" s="15">
        <f>ROUND((AG32/AG21*100),0)</f>
        <v>2</v>
      </c>
      <c r="AH33" s="15"/>
      <c r="AI33" s="15">
        <f>AF33-AG33</f>
        <v>-4</v>
      </c>
    </row>
    <row r="34" spans="1:39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9" ht="15.75" x14ac:dyDescent="0.25">
      <c r="A35" s="1" t="s">
        <v>31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9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9" x14ac:dyDescent="0.2">
      <c r="A37" s="14" t="s">
        <v>32</v>
      </c>
      <c r="B37" s="15">
        <f>[2]FP!U31</f>
        <v>188483.33</v>
      </c>
      <c r="C37" s="15">
        <f>[3]REG1!B37</f>
        <v>167771.82</v>
      </c>
      <c r="D37" s="15">
        <f>B37-C37</f>
        <v>20711.50999999998</v>
      </c>
      <c r="E37" s="15">
        <f>D37/C37*100</f>
        <v>12.345046981072256</v>
      </c>
      <c r="F37" s="16"/>
      <c r="G37" s="15">
        <f>[4]FP!U31</f>
        <v>301393.33</v>
      </c>
      <c r="H37" s="15">
        <f>[3]REG1!G37</f>
        <v>294004.58</v>
      </c>
      <c r="I37" s="15">
        <f>G37-H37</f>
        <v>7388.75</v>
      </c>
      <c r="J37" s="15">
        <f>I37/H37*100</f>
        <v>2.5131411218151771</v>
      </c>
      <c r="K37" s="16"/>
      <c r="L37" s="15">
        <f>[5]FP!U31</f>
        <v>224526.51</v>
      </c>
      <c r="M37" s="15">
        <f>[3]REG1!L37</f>
        <v>421068.37</v>
      </c>
      <c r="N37" s="15">
        <f>L37-M37</f>
        <v>-196541.86</v>
      </c>
      <c r="O37" s="15">
        <f>N37/M37*100</f>
        <v>-46.676947024066422</v>
      </c>
      <c r="P37" s="16"/>
      <c r="Q37" s="15">
        <f>[6]FP!U31</f>
        <v>333357.03000000003</v>
      </c>
      <c r="R37" s="15">
        <f>[3]REG1!Q37</f>
        <v>289493.7</v>
      </c>
      <c r="S37" s="15">
        <f>Q37-R37</f>
        <v>43863.330000000016</v>
      </c>
      <c r="T37" s="15">
        <f>S37/R37*100</f>
        <v>15.151739053388733</v>
      </c>
      <c r="U37" s="16"/>
      <c r="V37" s="15">
        <f>[7]FP!U31</f>
        <v>124123.65</v>
      </c>
      <c r="W37" s="15">
        <f>[3]REG1!V37</f>
        <v>93389.21</v>
      </c>
      <c r="X37" s="15">
        <f>V37-W37</f>
        <v>30734.439999999988</v>
      </c>
      <c r="Y37" s="15">
        <f>X37/W37*100</f>
        <v>32.910054598384534</v>
      </c>
      <c r="Z37" s="16"/>
      <c r="AA37" s="15">
        <f>[8]FP!U31</f>
        <v>567860.81000000006</v>
      </c>
      <c r="AB37" s="15">
        <f>[3]REG1!AA37</f>
        <v>500965.42</v>
      </c>
      <c r="AC37" s="15">
        <f>AA37-AB37</f>
        <v>66895.390000000072</v>
      </c>
      <c r="AD37" s="15">
        <f>AC37/AB37*100</f>
        <v>13.353294924028901</v>
      </c>
      <c r="AE37" s="16"/>
      <c r="AF37" s="15">
        <f t="shared" ref="AF37:AG39" si="18">G37+L37+Q37+B37+V37+AA37</f>
        <v>1739744.6600000001</v>
      </c>
      <c r="AG37" s="15">
        <f t="shared" si="18"/>
        <v>1766693.0999999999</v>
      </c>
      <c r="AH37" s="15">
        <f>AF37-AG37</f>
        <v>-26948.439999999711</v>
      </c>
      <c r="AI37" s="15">
        <f>AH37/AG37*100</f>
        <v>-1.5253605733785747</v>
      </c>
      <c r="AK37" s="17"/>
    </row>
    <row r="38" spans="1:39" x14ac:dyDescent="0.2">
      <c r="A38" s="14" t="s">
        <v>33</v>
      </c>
      <c r="B38" s="15">
        <f>[2]FP!U32</f>
        <v>87195.53</v>
      </c>
      <c r="C38" s="15">
        <f>[3]REG1!B38</f>
        <v>646.79</v>
      </c>
      <c r="D38" s="15">
        <f>B38-C38</f>
        <v>86548.74</v>
      </c>
      <c r="E38" s="15">
        <f>D38/C38*100</f>
        <v>13381.273674608454</v>
      </c>
      <c r="F38" s="16"/>
      <c r="G38" s="15">
        <f>[4]FP!U32</f>
        <v>0</v>
      </c>
      <c r="H38" s="15">
        <f>[3]REG1!G38</f>
        <v>0</v>
      </c>
      <c r="I38" s="15">
        <f>G38-H38</f>
        <v>0</v>
      </c>
      <c r="J38" s="15"/>
      <c r="K38" s="16"/>
      <c r="L38" s="15">
        <f>[5]FP!U32</f>
        <v>0</v>
      </c>
      <c r="M38" s="15">
        <f>[3]REG1!L38</f>
        <v>0</v>
      </c>
      <c r="N38" s="15">
        <f>L38-M38</f>
        <v>0</v>
      </c>
      <c r="O38" s="15"/>
      <c r="P38" s="16"/>
      <c r="Q38" s="15">
        <f>[6]FP!U32</f>
        <v>27717.78</v>
      </c>
      <c r="R38" s="15">
        <f>[3]REG1!Q38</f>
        <v>21003.84</v>
      </c>
      <c r="S38" s="15">
        <f>Q38-R38</f>
        <v>6713.9399999999987</v>
      </c>
      <c r="T38" s="15">
        <f>S38/R38*100</f>
        <v>31.9652977741213</v>
      </c>
      <c r="U38" s="16"/>
      <c r="V38" s="15">
        <f>[7]FP!U32</f>
        <v>556.03</v>
      </c>
      <c r="W38" s="15">
        <f>[3]REG1!V38</f>
        <v>638.33000000000004</v>
      </c>
      <c r="X38" s="15">
        <f>V38-W38</f>
        <v>-82.300000000000068</v>
      </c>
      <c r="Y38" s="15">
        <f>X38/W38*100</f>
        <v>-12.893017718108199</v>
      </c>
      <c r="Z38" s="16"/>
      <c r="AA38" s="15">
        <f>[8]FP!U32</f>
        <v>0</v>
      </c>
      <c r="AB38" s="15">
        <f>[3]REG1!AA38</f>
        <v>0</v>
      </c>
      <c r="AC38" s="15">
        <f>AA38-AB38</f>
        <v>0</v>
      </c>
      <c r="AD38" s="15"/>
      <c r="AE38" s="16"/>
      <c r="AF38" s="15">
        <f t="shared" si="18"/>
        <v>115469.34</v>
      </c>
      <c r="AG38" s="15">
        <f t="shared" si="18"/>
        <v>22288.960000000003</v>
      </c>
      <c r="AH38" s="15">
        <f>AF38-AG38</f>
        <v>93180.37999999999</v>
      </c>
      <c r="AI38" s="15">
        <f>AH38/AG38*100</f>
        <v>418.05620360932039</v>
      </c>
      <c r="AK38" s="17"/>
    </row>
    <row r="39" spans="1:39" x14ac:dyDescent="0.2">
      <c r="A39" s="14" t="s">
        <v>34</v>
      </c>
      <c r="B39" s="15">
        <f>[2]FP!U33</f>
        <v>511.62</v>
      </c>
      <c r="C39" s="15">
        <f>[3]REG1!B39</f>
        <v>-2809.14</v>
      </c>
      <c r="D39" s="15">
        <f>B39-C39</f>
        <v>3320.7599999999998</v>
      </c>
      <c r="E39" s="15">
        <f>D39/C39*100</f>
        <v>-118.21269142869349</v>
      </c>
      <c r="F39" s="16"/>
      <c r="G39" s="15">
        <f>[4]FP!U33</f>
        <v>36496.33</v>
      </c>
      <c r="H39" s="15">
        <f>[3]REG1!G39</f>
        <v>14916.85</v>
      </c>
      <c r="I39" s="15">
        <f>G39-H39</f>
        <v>21579.480000000003</v>
      </c>
      <c r="J39" s="15">
        <f>I39/H39*100</f>
        <v>144.66512702078523</v>
      </c>
      <c r="K39" s="16"/>
      <c r="L39" s="15">
        <f>[5]FP!U33</f>
        <v>54490.080000000002</v>
      </c>
      <c r="M39" s="15">
        <f>[3]REG1!L39</f>
        <v>160.51</v>
      </c>
      <c r="N39" s="15">
        <f>L39-M39</f>
        <v>54329.57</v>
      </c>
      <c r="O39" s="15">
        <f>N39/M39*100</f>
        <v>33848.090461653483</v>
      </c>
      <c r="P39" s="16"/>
      <c r="Q39" s="15">
        <f>[6]FP!U33</f>
        <v>53207.08</v>
      </c>
      <c r="R39" s="15">
        <f>[3]REG1!Q39</f>
        <v>46825.65</v>
      </c>
      <c r="S39" s="15">
        <f>Q39-R39</f>
        <v>6381.43</v>
      </c>
      <c r="T39" s="15">
        <f>S39/R39*100</f>
        <v>13.628064960123352</v>
      </c>
      <c r="U39" s="16"/>
      <c r="V39" s="15">
        <f>[7]FP!U33</f>
        <v>42069.7</v>
      </c>
      <c r="W39" s="15">
        <f>[3]REG1!V39</f>
        <v>42405.03</v>
      </c>
      <c r="X39" s="15">
        <f>V39-W39</f>
        <v>-335.33000000000175</v>
      </c>
      <c r="Y39" s="15">
        <f>X39/W39*100</f>
        <v>-0.79077882977562264</v>
      </c>
      <c r="Z39" s="16"/>
      <c r="AA39" s="15">
        <f>[8]FP!U33</f>
        <v>18996.82</v>
      </c>
      <c r="AB39" s="15">
        <f>[3]REG1!AA39</f>
        <v>6939.11</v>
      </c>
      <c r="AC39" s="15">
        <f>AA39-AB39</f>
        <v>12057.71</v>
      </c>
      <c r="AD39" s="15">
        <f>AC39/AB39*100</f>
        <v>173.76450294057884</v>
      </c>
      <c r="AE39" s="16"/>
      <c r="AF39" s="15">
        <f t="shared" si="18"/>
        <v>205771.63</v>
      </c>
      <c r="AG39" s="15">
        <f t="shared" si="18"/>
        <v>108438.01</v>
      </c>
      <c r="AH39" s="15">
        <f>AF39-AG39</f>
        <v>97333.62000000001</v>
      </c>
      <c r="AI39" s="15">
        <f>AH39/AG39*100</f>
        <v>89.759688507747441</v>
      </c>
    </row>
    <row r="40" spans="1:39" x14ac:dyDescent="0.2">
      <c r="A40" s="14" t="s">
        <v>35</v>
      </c>
      <c r="B40" s="15"/>
      <c r="C40" s="15"/>
      <c r="D40" s="15"/>
      <c r="E40" s="15"/>
      <c r="F40" s="16"/>
      <c r="G40" s="21"/>
      <c r="H40" s="21"/>
      <c r="I40" s="15"/>
      <c r="J40" s="15"/>
      <c r="K40" s="16"/>
      <c r="L40" s="15"/>
      <c r="M40" s="15">
        <f>[3]REG1!L40</f>
        <v>0</v>
      </c>
      <c r="N40" s="15"/>
      <c r="O40" s="15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5"/>
      <c r="AB40" s="15"/>
      <c r="AC40" s="15"/>
      <c r="AD40" s="15"/>
      <c r="AE40" s="16"/>
      <c r="AF40" s="15"/>
      <c r="AG40" s="15"/>
      <c r="AH40" s="15"/>
      <c r="AI40" s="15"/>
      <c r="AK40" s="17"/>
    </row>
    <row r="41" spans="1:39" ht="15" hidden="1" customHeight="1" x14ac:dyDescent="0.2">
      <c r="A41" s="14" t="s">
        <v>36</v>
      </c>
      <c r="B41" s="15"/>
      <c r="C41" s="15">
        <f>[3]REG1!B49</f>
        <v>714161.7</v>
      </c>
      <c r="D41" s="15"/>
      <c r="E41" s="15"/>
      <c r="F41" s="16"/>
      <c r="G41" s="15"/>
      <c r="H41" s="15"/>
      <c r="I41" s="15"/>
      <c r="J41" s="15"/>
      <c r="K41" s="16"/>
      <c r="L41" s="15"/>
      <c r="M41" s="15">
        <f>[3]REG1!L41</f>
        <v>0</v>
      </c>
      <c r="N41" s="15"/>
      <c r="O41" s="15"/>
      <c r="P41" s="16"/>
      <c r="Q41" s="16"/>
      <c r="R41" s="16">
        <v>54971</v>
      </c>
      <c r="S41" s="16"/>
      <c r="T41" s="16"/>
      <c r="U41" s="16"/>
      <c r="V41" s="16"/>
      <c r="W41" s="16">
        <v>32156</v>
      </c>
      <c r="X41" s="16"/>
      <c r="Y41" s="16"/>
      <c r="Z41" s="16"/>
      <c r="AA41" s="15"/>
      <c r="AB41" s="15">
        <v>391570</v>
      </c>
      <c r="AC41" s="15"/>
      <c r="AD41" s="15"/>
      <c r="AE41" s="16"/>
      <c r="AF41" s="15"/>
      <c r="AG41" s="15"/>
      <c r="AH41" s="15"/>
      <c r="AI41" s="15"/>
      <c r="AK41" s="17"/>
      <c r="AL41" s="17"/>
      <c r="AM41" s="17"/>
    </row>
    <row r="42" spans="1:39" ht="15" hidden="1" customHeight="1" x14ac:dyDescent="0.2">
      <c r="A42" s="14" t="s">
        <v>37</v>
      </c>
      <c r="B42" s="15"/>
      <c r="C42" s="15">
        <f>[3]REG1!B50</f>
        <v>1.4600403925687984</v>
      </c>
      <c r="D42" s="15"/>
      <c r="E42" s="15"/>
      <c r="F42" s="16"/>
      <c r="G42" s="15"/>
      <c r="H42" s="15"/>
      <c r="I42" s="15"/>
      <c r="J42" s="15"/>
      <c r="K42" s="16"/>
      <c r="L42" s="15"/>
      <c r="M42" s="15">
        <f>[3]REG1!L42</f>
        <v>0</v>
      </c>
      <c r="N42" s="15"/>
      <c r="O42" s="15"/>
      <c r="P42" s="16"/>
      <c r="Q42" s="16"/>
      <c r="R42" s="16">
        <v>10539</v>
      </c>
      <c r="S42" s="16"/>
      <c r="T42" s="16"/>
      <c r="U42" s="16"/>
      <c r="V42" s="16"/>
      <c r="W42" s="16">
        <v>2461</v>
      </c>
      <c r="X42" s="16"/>
      <c r="Y42" s="16"/>
      <c r="Z42" s="16"/>
      <c r="AA42" s="15"/>
      <c r="AB42" s="15">
        <v>17826</v>
      </c>
      <c r="AC42" s="15"/>
      <c r="AD42" s="15"/>
      <c r="AE42" s="16"/>
      <c r="AF42" s="15"/>
      <c r="AG42" s="15"/>
      <c r="AH42" s="15"/>
      <c r="AI42" s="15"/>
      <c r="AK42" s="17"/>
      <c r="AL42" s="17"/>
      <c r="AM42" s="17"/>
    </row>
    <row r="43" spans="1:39" ht="15" hidden="1" customHeight="1" x14ac:dyDescent="0.2">
      <c r="A43" s="14" t="s">
        <v>38</v>
      </c>
      <c r="B43" s="15"/>
      <c r="C43" s="15">
        <f>[3]REG1!B51</f>
        <v>590790.29168111121</v>
      </c>
      <c r="D43" s="15"/>
      <c r="E43" s="15"/>
      <c r="F43" s="16"/>
      <c r="G43" s="15"/>
      <c r="H43" s="15"/>
      <c r="I43" s="15"/>
      <c r="J43" s="15"/>
      <c r="K43" s="16"/>
      <c r="L43" s="15"/>
      <c r="M43" s="15">
        <f>[3]REG1!L43</f>
        <v>0</v>
      </c>
      <c r="N43" s="15"/>
      <c r="O43" s="15"/>
      <c r="P43" s="16"/>
      <c r="Q43" s="16"/>
      <c r="R43" s="16">
        <v>57896</v>
      </c>
      <c r="S43" s="16"/>
      <c r="T43" s="16"/>
      <c r="U43" s="16"/>
      <c r="V43" s="16"/>
      <c r="W43" s="16">
        <v>0</v>
      </c>
      <c r="X43" s="16"/>
      <c r="Y43" s="16"/>
      <c r="Z43" s="16"/>
      <c r="AA43" s="15"/>
      <c r="AB43" s="15">
        <v>26473</v>
      </c>
      <c r="AC43" s="15"/>
      <c r="AD43" s="15"/>
      <c r="AE43" s="16"/>
      <c r="AF43" s="15"/>
      <c r="AG43" s="15"/>
      <c r="AH43" s="15"/>
      <c r="AI43" s="15"/>
      <c r="AK43" s="17"/>
      <c r="AL43" s="17"/>
      <c r="AM43" s="17"/>
    </row>
    <row r="44" spans="1:39" ht="15" hidden="1" customHeight="1" x14ac:dyDescent="0.2">
      <c r="A44" s="14" t="s">
        <v>39</v>
      </c>
      <c r="B44" s="15"/>
      <c r="C44" s="15">
        <f>[3]REG1!B52</f>
        <v>1200.08275</v>
      </c>
      <c r="D44" s="15"/>
      <c r="E44" s="15"/>
      <c r="F44" s="16"/>
      <c r="G44" s="15"/>
      <c r="H44" s="15"/>
      <c r="I44" s="15"/>
      <c r="J44" s="15"/>
      <c r="K44" s="16"/>
      <c r="L44" s="15"/>
      <c r="M44" s="15">
        <f>[3]REG1!L44</f>
        <v>0</v>
      </c>
      <c r="N44" s="15"/>
      <c r="O44" s="15"/>
      <c r="P44" s="16"/>
      <c r="Q44" s="16"/>
      <c r="R44" s="16">
        <v>125770</v>
      </c>
      <c r="S44" s="16"/>
      <c r="T44" s="16"/>
      <c r="U44" s="16"/>
      <c r="V44" s="16"/>
      <c r="W44" s="16">
        <v>0</v>
      </c>
      <c r="X44" s="16"/>
      <c r="Y44" s="16"/>
      <c r="Z44" s="16"/>
      <c r="AA44" s="15"/>
      <c r="AB44" s="15">
        <v>33263</v>
      </c>
      <c r="AC44" s="15"/>
      <c r="AD44" s="15"/>
      <c r="AE44" s="16"/>
      <c r="AF44" s="15"/>
      <c r="AG44" s="15"/>
      <c r="AH44" s="15"/>
      <c r="AI44" s="15"/>
      <c r="AK44" s="17"/>
      <c r="AL44" s="17"/>
      <c r="AM44" s="17"/>
    </row>
    <row r="45" spans="1:39" ht="15" hidden="1" customHeight="1" x14ac:dyDescent="0.2">
      <c r="A45" s="14" t="s">
        <v>40</v>
      </c>
      <c r="B45" s="15"/>
      <c r="C45" s="15">
        <f>[3]REG1!B53</f>
        <v>85372.742729999998</v>
      </c>
      <c r="D45" s="15"/>
      <c r="E45" s="15"/>
      <c r="F45" s="16"/>
      <c r="G45" s="15"/>
      <c r="H45" s="15"/>
      <c r="I45" s="15"/>
      <c r="J45" s="15"/>
      <c r="K45" s="16"/>
      <c r="L45" s="15"/>
      <c r="M45" s="15">
        <f>[3]REG1!L45</f>
        <v>0</v>
      </c>
      <c r="N45" s="15"/>
      <c r="O45" s="15"/>
      <c r="P45" s="16"/>
      <c r="Q45" s="16"/>
      <c r="R45" s="16">
        <v>0</v>
      </c>
      <c r="S45" s="16"/>
      <c r="T45" s="16"/>
      <c r="U45" s="16"/>
      <c r="V45" s="16"/>
      <c r="W45" s="16">
        <v>0</v>
      </c>
      <c r="X45" s="16"/>
      <c r="Y45" s="16"/>
      <c r="Z45" s="16"/>
      <c r="AA45" s="15"/>
      <c r="AB45" s="15">
        <v>0</v>
      </c>
      <c r="AC45" s="15"/>
      <c r="AD45" s="15"/>
      <c r="AE45" s="16"/>
      <c r="AF45" s="15"/>
      <c r="AG45" s="15"/>
      <c r="AH45" s="15"/>
      <c r="AI45" s="15"/>
      <c r="AK45" s="17"/>
      <c r="AL45" s="17"/>
      <c r="AM45" s="17"/>
    </row>
    <row r="46" spans="1:39" x14ac:dyDescent="0.2">
      <c r="A46" s="14" t="s">
        <v>41</v>
      </c>
      <c r="B46" s="15">
        <f>[2]FP!$U$35</f>
        <v>960445.19</v>
      </c>
      <c r="C46" s="15">
        <f>[3]REG1!B46</f>
        <v>1061200.48</v>
      </c>
      <c r="D46" s="15">
        <f>B46-C46</f>
        <v>-100755.29000000004</v>
      </c>
      <c r="E46" s="15">
        <f>D46/C46*100</f>
        <v>-9.4944632893494383</v>
      </c>
      <c r="F46" s="16"/>
      <c r="G46" s="21">
        <f>[4]FP!$U$35</f>
        <v>136889.96</v>
      </c>
      <c r="H46" s="21">
        <f>[3]REG1!G46</f>
        <v>122430.53</v>
      </c>
      <c r="I46" s="15">
        <f>G46-H46</f>
        <v>14459.429999999993</v>
      </c>
      <c r="J46" s="15">
        <f>I46/H46*100</f>
        <v>11.810313979691172</v>
      </c>
      <c r="K46" s="16"/>
      <c r="L46" s="15">
        <f>[5]FP!$U$35</f>
        <v>476804.91</v>
      </c>
      <c r="M46" s="15">
        <f>[3]REG1!L46</f>
        <v>331987.40000000002</v>
      </c>
      <c r="N46" s="15">
        <f>L46-M46</f>
        <v>144817.50999999995</v>
      </c>
      <c r="O46" s="15">
        <f>N46/M46*100</f>
        <v>43.621387438197942</v>
      </c>
      <c r="P46" s="16"/>
      <c r="Q46" s="21">
        <f>[6]FP!$U$35</f>
        <v>364561.67</v>
      </c>
      <c r="R46" s="21">
        <f>[3]REG1!Q46</f>
        <v>296916.46999999997</v>
      </c>
      <c r="S46" s="15">
        <f>Q46-R46</f>
        <v>67645.200000000012</v>
      </c>
      <c r="T46" s="15">
        <f>S46/R46*100</f>
        <v>22.782569117839781</v>
      </c>
      <c r="U46" s="16"/>
      <c r="V46" s="15">
        <f>[7]FP!$U$35</f>
        <v>86676.65</v>
      </c>
      <c r="W46" s="15">
        <f>[3]REG1!V46</f>
        <v>59616.26</v>
      </c>
      <c r="X46" s="15">
        <f>V46-W46</f>
        <v>27060.389999999992</v>
      </c>
      <c r="Y46" s="15">
        <f>X46/W46*100</f>
        <v>45.390955420551357</v>
      </c>
      <c r="Z46" s="16"/>
      <c r="AA46" s="15">
        <f>[8]FP!$U$35</f>
        <v>666951.79</v>
      </c>
      <c r="AB46" s="15">
        <f>[3]REG1!AA46</f>
        <v>690877.25</v>
      </c>
      <c r="AC46" s="15">
        <f>AA46-AB46</f>
        <v>-23925.459999999963</v>
      </c>
      <c r="AD46" s="15">
        <f>AC46/AB46*100</f>
        <v>-3.4630551230337896</v>
      </c>
      <c r="AE46" s="16"/>
      <c r="AF46" s="15">
        <f>G46+L46+Q46+B46+V46+AA46</f>
        <v>2692330.17</v>
      </c>
      <c r="AG46" s="15">
        <f>H46+M46+R46+C46+W46+AB46</f>
        <v>2563028.3899999997</v>
      </c>
      <c r="AH46" s="15">
        <f>AF46-AG46</f>
        <v>129301.78000000026</v>
      </c>
      <c r="AI46" s="15">
        <f>AH46/AG46*100</f>
        <v>5.0448828621832114</v>
      </c>
      <c r="AK46" s="17"/>
    </row>
    <row r="47" spans="1:39" x14ac:dyDescent="0.2">
      <c r="A47" s="14" t="s">
        <v>42</v>
      </c>
      <c r="B47" s="16">
        <f>B46/(B13/'[1]DON''T DELETE'!B1)</f>
        <v>1.7139606800181522</v>
      </c>
      <c r="C47" s="16">
        <f>[3]REG1!B47</f>
        <v>1.7359680107848032</v>
      </c>
      <c r="D47" s="16">
        <f>B47-C47</f>
        <v>-2.2007330766651068E-2</v>
      </c>
      <c r="E47" s="15">
        <f>D47/C47*100</f>
        <v>-1.2677267455350119</v>
      </c>
      <c r="F47" s="16"/>
      <c r="G47" s="16">
        <f>G46/(G13/'[1]DON''T DELETE'!B1)</f>
        <v>0.4300138830990074</v>
      </c>
      <c r="H47" s="16">
        <f>[3]REG1!G47</f>
        <v>0.31873729968240494</v>
      </c>
      <c r="I47" s="16">
        <f>G47-H47</f>
        <v>0.11127658341660246</v>
      </c>
      <c r="J47" s="15">
        <f>I47/H47*100</f>
        <v>34.911691705828055</v>
      </c>
      <c r="K47" s="16"/>
      <c r="L47" s="16">
        <f>L46/(L13/'[1]DON''T DELETE'!B1)</f>
        <v>1.3979620949608773</v>
      </c>
      <c r="M47" s="16">
        <f>[3]REG1!L47</f>
        <v>0.88693776154794879</v>
      </c>
      <c r="N47" s="16">
        <f>L47-M47</f>
        <v>0.51102433341292852</v>
      </c>
      <c r="O47" s="15">
        <f>N47/M47*100</f>
        <v>57.616707233329592</v>
      </c>
      <c r="P47" s="16"/>
      <c r="Q47" s="16">
        <f>Q46/(Q13/'[1]DON''T DELETE'!B1)</f>
        <v>1.288210053227133</v>
      </c>
      <c r="R47" s="16">
        <f>[3]REG1!Q47</f>
        <v>1.0445320756640493</v>
      </c>
      <c r="S47" s="16">
        <f>Q47-R47</f>
        <v>0.24367797756308374</v>
      </c>
      <c r="T47" s="15">
        <f>S47/R47*100</f>
        <v>23.328912844363181</v>
      </c>
      <c r="U47" s="16"/>
      <c r="V47" s="16">
        <f>V46/(V13/'[1]DON''T DELETE'!B1)</f>
        <v>0.54324128436864205</v>
      </c>
      <c r="W47" s="16">
        <f>[3]REG1!V47</f>
        <v>0.33556008782902225</v>
      </c>
      <c r="X47" s="16">
        <f>V47-W47</f>
        <v>0.20768119653961981</v>
      </c>
      <c r="Y47" s="15">
        <f>X47/W47*100</f>
        <v>61.890911366503012</v>
      </c>
      <c r="Z47" s="16"/>
      <c r="AA47" s="16">
        <f>AA46/(AA13/'[1]DON''T DELETE'!B1)</f>
        <v>1.3343507994690684</v>
      </c>
      <c r="AB47" s="16">
        <f>[3]REG1!AA47</f>
        <v>1.3173627306418185</v>
      </c>
      <c r="AC47" s="16">
        <f>AA47-AB47</f>
        <v>1.6988068827249903E-2</v>
      </c>
      <c r="AD47" s="15">
        <f>AC47/AB47*100</f>
        <v>1.2895513461940222</v>
      </c>
      <c r="AE47" s="16"/>
      <c r="AF47" s="16">
        <f>AF46/(AF13/'[1]DON''T DELETE'!B1)</f>
        <v>1.2452031004788895</v>
      </c>
      <c r="AG47" s="16">
        <f>AG46/(AG13/'[1]DON''T DELETE'!B1)</f>
        <v>1.0878359556054631</v>
      </c>
      <c r="AH47" s="16">
        <f>AF47-AG47</f>
        <v>0.1573671448734264</v>
      </c>
      <c r="AI47" s="15">
        <f>AH47/AG47*100</f>
        <v>14.46607313010165</v>
      </c>
    </row>
    <row r="48" spans="1:39" x14ac:dyDescent="0.2">
      <c r="A48" s="14" t="s">
        <v>43</v>
      </c>
      <c r="B48" s="22"/>
      <c r="C48" s="22"/>
      <c r="D48" s="16"/>
      <c r="E48" s="16"/>
      <c r="F48" s="16"/>
      <c r="G48" s="22"/>
      <c r="H48" s="22"/>
      <c r="I48" s="16"/>
      <c r="J48" s="16"/>
      <c r="K48" s="16"/>
      <c r="L48" s="22"/>
      <c r="M48" s="22">
        <f>[3]REG1!L48</f>
        <v>0</v>
      </c>
      <c r="N48" s="16"/>
      <c r="O48" s="16"/>
      <c r="P48" s="16"/>
      <c r="Q48" s="22"/>
      <c r="R48" s="22"/>
      <c r="S48" s="16"/>
      <c r="T48" s="16"/>
      <c r="U48" s="16"/>
      <c r="V48" s="22"/>
      <c r="W48" s="22"/>
      <c r="X48" s="16"/>
      <c r="Y48" s="16"/>
      <c r="Z48" s="16"/>
      <c r="AA48" s="22"/>
      <c r="AB48" s="22"/>
      <c r="AC48" s="16"/>
      <c r="AD48" s="16"/>
      <c r="AE48" s="16"/>
      <c r="AF48" s="16"/>
      <c r="AG48" s="16"/>
      <c r="AH48" s="16"/>
      <c r="AI48" s="16"/>
      <c r="AK48" s="20"/>
    </row>
    <row r="49" spans="1:37" x14ac:dyDescent="0.2">
      <c r="A49" s="14" t="s">
        <v>41</v>
      </c>
      <c r="B49" s="15">
        <f>[2]FP!$U$38</f>
        <v>1738017.93</v>
      </c>
      <c r="C49" s="15">
        <f>[3]REG1!B49</f>
        <v>714161.7</v>
      </c>
      <c r="D49" s="15">
        <f t="shared" ref="D49:D54" si="19">B49-C49</f>
        <v>1023856.23</v>
      </c>
      <c r="E49" s="15">
        <f t="shared" ref="E49:E54" si="20">D49/C49*100</f>
        <v>143.3647631901851</v>
      </c>
      <c r="F49" s="16"/>
      <c r="G49" s="15">
        <f>[4]FP!$U$38</f>
        <v>587145.21</v>
      </c>
      <c r="H49" s="15">
        <f>[3]REG1!G49</f>
        <v>392220.52997000003</v>
      </c>
      <c r="I49" s="15">
        <f t="shared" ref="I49:I54" si="21">G49-H49</f>
        <v>194924.68002999993</v>
      </c>
      <c r="J49" s="15">
        <f t="shared" ref="J49:J54" si="22">I49/H49*100</f>
        <v>49.697724911265922</v>
      </c>
      <c r="K49" s="16"/>
      <c r="L49" s="15">
        <f>[5]FP!$U$38</f>
        <v>244908.94</v>
      </c>
      <c r="M49" s="15">
        <f>[3]REG1!L49</f>
        <v>227976.61</v>
      </c>
      <c r="N49" s="15">
        <f t="shared" ref="N49:N54" si="23">L49-M49</f>
        <v>16932.330000000016</v>
      </c>
      <c r="O49" s="15">
        <f t="shared" ref="O49:O54" si="24">N49/M49*100</f>
        <v>7.4272224681295222</v>
      </c>
      <c r="P49" s="16"/>
      <c r="Q49" s="15">
        <f>[6]FP!$U$38</f>
        <v>209101.26</v>
      </c>
      <c r="R49" s="15">
        <f>[3]REG1!Q49</f>
        <v>178917.47</v>
      </c>
      <c r="S49" s="15">
        <f t="shared" ref="S49:S54" si="25">Q49-R49</f>
        <v>30183.790000000008</v>
      </c>
      <c r="T49" s="15">
        <f t="shared" ref="T49:T54" si="26">S49/R49*100</f>
        <v>16.870230727049744</v>
      </c>
      <c r="U49" s="16"/>
      <c r="V49" s="15">
        <f>[7]FP!$U$38</f>
        <v>127769.36</v>
      </c>
      <c r="W49" s="15">
        <f>[3]REG1!V49</f>
        <v>96087.21</v>
      </c>
      <c r="X49" s="15">
        <f t="shared" ref="X49:X54" si="27">V49-W49</f>
        <v>31682.149999999994</v>
      </c>
      <c r="Y49" s="15">
        <f t="shared" ref="Y49:Y54" si="28">X49/W49*100</f>
        <v>32.972286321977698</v>
      </c>
      <c r="Z49" s="16"/>
      <c r="AA49" s="15">
        <f>[8]FP!$U$38</f>
        <v>324638.86</v>
      </c>
      <c r="AB49" s="15">
        <f>[3]REG1!AA49</f>
        <v>347829.78</v>
      </c>
      <c r="AC49" s="15">
        <f t="shared" ref="AC49:AC54" si="29">AA49-AB49</f>
        <v>-23190.920000000042</v>
      </c>
      <c r="AD49" s="15">
        <f t="shared" ref="AD49:AD54" si="30">AC49/AB49*100</f>
        <v>-6.6673187097436113</v>
      </c>
      <c r="AE49" s="16"/>
      <c r="AF49" s="15">
        <f>AA49+V49+B49+Q49+L49+G49</f>
        <v>3231581.56</v>
      </c>
      <c r="AG49" s="15">
        <f>AB49+W49+C49+R49+M49+H49</f>
        <v>1957193.2999700001</v>
      </c>
      <c r="AH49" s="15">
        <f t="shared" ref="AH49:AH54" si="31">AF49-AG49</f>
        <v>1274388.26003</v>
      </c>
      <c r="AI49" s="15">
        <f t="shared" ref="AI49:AI54" si="32">AH49/AG49*100</f>
        <v>65.113050409968892</v>
      </c>
      <c r="AK49" s="17"/>
    </row>
    <row r="50" spans="1:37" x14ac:dyDescent="0.2">
      <c r="A50" s="14" t="s">
        <v>44</v>
      </c>
      <c r="B50" s="16">
        <f>B49/(B22/'[1]DON''T DELETE'!B1)</f>
        <v>3.7145327820817617</v>
      </c>
      <c r="C50" s="16">
        <f>[3]REG1!B50</f>
        <v>1.4600403925687984</v>
      </c>
      <c r="D50" s="16">
        <f t="shared" si="19"/>
        <v>2.2544923895129632</v>
      </c>
      <c r="E50" s="15">
        <f t="shared" si="20"/>
        <v>154.41301494038834</v>
      </c>
      <c r="F50" s="16"/>
      <c r="G50" s="16">
        <f>G49/(G22/'[1]DON''T DELETE'!B1)</f>
        <v>2.1992348369030474</v>
      </c>
      <c r="H50" s="16">
        <f>[3]REG1!G50</f>
        <v>1.3374509034878499</v>
      </c>
      <c r="I50" s="16">
        <f t="shared" si="21"/>
        <v>0.86178393341519755</v>
      </c>
      <c r="J50" s="15">
        <f t="shared" si="22"/>
        <v>64.434808871698252</v>
      </c>
      <c r="K50" s="16"/>
      <c r="L50" s="16">
        <f>L49/(L22/'[1]DON''T DELETE'!B1)</f>
        <v>0.93833990775407472</v>
      </c>
      <c r="M50" s="16">
        <f>[3]REG1!L50</f>
        <v>0.79564769873776142</v>
      </c>
      <c r="N50" s="16">
        <f t="shared" si="23"/>
        <v>0.1426922090163133</v>
      </c>
      <c r="O50" s="15">
        <f t="shared" si="24"/>
        <v>17.934094353906175</v>
      </c>
      <c r="P50" s="16"/>
      <c r="Q50" s="16">
        <f>Q49/(Q22/'[1]DON''T DELETE'!B1)</f>
        <v>1.0014686161873632</v>
      </c>
      <c r="R50" s="16">
        <f>[3]REG1!Q50</f>
        <v>0.82201464455111617</v>
      </c>
      <c r="S50" s="16">
        <f t="shared" si="25"/>
        <v>0.17945397163624699</v>
      </c>
      <c r="T50" s="15"/>
      <c r="U50" s="16"/>
      <c r="V50" s="16">
        <f>V49/(V22/'[1]DON''T DELETE'!B1)</f>
        <v>1.0281826062871813</v>
      </c>
      <c r="W50" s="16">
        <f>[3]REG1!V50</f>
        <v>0.69703209472640459</v>
      </c>
      <c r="X50" s="16">
        <f t="shared" si="27"/>
        <v>0.33115051156077668</v>
      </c>
      <c r="Y50" s="15">
        <f t="shared" si="28"/>
        <v>47.50864616797282</v>
      </c>
      <c r="Z50" s="16"/>
      <c r="AA50" s="16">
        <f>AA49/(AA22/'[1]DON''T DELETE'!B1)</f>
        <v>0.90814926249620609</v>
      </c>
      <c r="AB50" s="16">
        <f>[3]REG1!AA50</f>
        <v>0.90003490486768134</v>
      </c>
      <c r="AC50" s="16">
        <f t="shared" si="29"/>
        <v>8.1143576285247487E-3</v>
      </c>
      <c r="AD50" s="15">
        <f t="shared" si="30"/>
        <v>0.90156032667618391</v>
      </c>
      <c r="AE50" s="16"/>
      <c r="AF50" s="16">
        <f>AF49/(AF22/'[1]DON''T DELETE'!B1)</f>
        <v>1.9162478903435916</v>
      </c>
      <c r="AG50" s="16">
        <f>AG49/(AG22/'[1]DON''T DELETE'!B1)</f>
        <v>1.0807852123899753</v>
      </c>
      <c r="AH50" s="16">
        <f t="shared" si="31"/>
        <v>0.83546267795361628</v>
      </c>
      <c r="AI50" s="15">
        <f t="shared" si="32"/>
        <v>77.301453459575995</v>
      </c>
    </row>
    <row r="51" spans="1:37" x14ac:dyDescent="0.2">
      <c r="A51" s="14" t="s">
        <v>45</v>
      </c>
      <c r="B51" s="15">
        <f>[2]FP!U40</f>
        <v>498444.94369666674</v>
      </c>
      <c r="C51" s="15">
        <f>[3]REG1!B51</f>
        <v>590790.29168111121</v>
      </c>
      <c r="D51" s="15">
        <f t="shared" si="19"/>
        <v>-92345.347984444466</v>
      </c>
      <c r="E51" s="15">
        <f t="shared" si="20"/>
        <v>-15.630816769461978</v>
      </c>
      <c r="F51" s="16"/>
      <c r="G51" s="15">
        <f>[4]FP!U40</f>
        <v>241395.94585222224</v>
      </c>
      <c r="H51" s="15">
        <f>[3]REG1!G51</f>
        <v>280592.64100444445</v>
      </c>
      <c r="I51" s="15">
        <f t="shared" si="21"/>
        <v>-39196.695152222208</v>
      </c>
      <c r="J51" s="15">
        <f t="shared" si="22"/>
        <v>-13.969252725912135</v>
      </c>
      <c r="K51" s="16"/>
      <c r="L51" s="15">
        <f>[5]FP!U40</f>
        <v>238179.46180888885</v>
      </c>
      <c r="M51" s="15">
        <f>[3]REG1!L51</f>
        <v>267955.5407177778</v>
      </c>
      <c r="N51" s="15">
        <f t="shared" si="23"/>
        <v>-29776.078908888943</v>
      </c>
      <c r="O51" s="15">
        <f t="shared" si="24"/>
        <v>-11.112320659288169</v>
      </c>
      <c r="P51" s="16"/>
      <c r="Q51" s="15">
        <f>[6]FP!U40</f>
        <v>202681.48548999999</v>
      </c>
      <c r="R51" s="15">
        <f>[3]REG1!Q51</f>
        <v>217585.16046111114</v>
      </c>
      <c r="S51" s="15">
        <f t="shared" si="25"/>
        <v>-14903.674971111148</v>
      </c>
      <c r="T51" s="15">
        <f t="shared" si="26"/>
        <v>-6.8495824529241602</v>
      </c>
      <c r="U51" s="16"/>
      <c r="V51" s="15">
        <f>[7]FP!U40</f>
        <v>129181.16666333334</v>
      </c>
      <c r="W51" s="15">
        <f>[3]REG1!V51</f>
        <v>154562.13703777778</v>
      </c>
      <c r="X51" s="15">
        <f t="shared" si="27"/>
        <v>-25380.970374444441</v>
      </c>
      <c r="Y51" s="15">
        <f t="shared" si="28"/>
        <v>-16.421208234356179</v>
      </c>
      <c r="Z51" s="16"/>
      <c r="AA51" s="21">
        <f>[8]FP!U40</f>
        <v>391316.6949233333</v>
      </c>
      <c r="AB51" s="21">
        <f>[3]REG1!AA51</f>
        <v>439749.44975666667</v>
      </c>
      <c r="AC51" s="15">
        <f t="shared" si="29"/>
        <v>-48432.754833333369</v>
      </c>
      <c r="AD51" s="15">
        <f t="shared" si="30"/>
        <v>-11.013715846633442</v>
      </c>
      <c r="AE51" s="16"/>
      <c r="AF51" s="15">
        <f t="shared" ref="AF51:AG54" si="33">AA51+V51+B51+Q51+L51+G51</f>
        <v>1701199.6984344446</v>
      </c>
      <c r="AG51" s="15">
        <f t="shared" si="33"/>
        <v>1951235.220658889</v>
      </c>
      <c r="AH51" s="15">
        <f t="shared" si="31"/>
        <v>-250035.52222444443</v>
      </c>
      <c r="AI51" s="15">
        <f t="shared" si="32"/>
        <v>-12.814217352022425</v>
      </c>
      <c r="AK51" s="23"/>
    </row>
    <row r="52" spans="1:37" x14ac:dyDescent="0.2">
      <c r="A52" s="14" t="s">
        <v>46</v>
      </c>
      <c r="B52" s="15">
        <f>[2]FP!U41</f>
        <v>784.02972</v>
      </c>
      <c r="C52" s="15">
        <f>[3]REG1!B52</f>
        <v>1200.08275</v>
      </c>
      <c r="D52" s="15">
        <f t="shared" si="19"/>
        <v>-416.05303000000004</v>
      </c>
      <c r="E52" s="15">
        <f t="shared" si="20"/>
        <v>-34.668695137897785</v>
      </c>
      <c r="F52" s="16"/>
      <c r="G52" s="15">
        <f>[4]FP!U41</f>
        <v>1914.25983</v>
      </c>
      <c r="H52" s="15">
        <f>[3]REG1!G52</f>
        <v>596.75380000000007</v>
      </c>
      <c r="I52" s="15">
        <f t="shared" si="21"/>
        <v>1317.50603</v>
      </c>
      <c r="J52" s="15">
        <f t="shared" si="22"/>
        <v>220.77882537153513</v>
      </c>
      <c r="K52" s="16"/>
      <c r="L52" s="15">
        <f>[5]FP!U41</f>
        <v>19.053830000000001</v>
      </c>
      <c r="M52" s="15">
        <f>[3]REG1!L52</f>
        <v>10.333309999999999</v>
      </c>
      <c r="N52" s="15">
        <f t="shared" si="23"/>
        <v>8.7205200000000023</v>
      </c>
      <c r="O52" s="15">
        <f t="shared" si="24"/>
        <v>84.392319595560409</v>
      </c>
      <c r="P52" s="16"/>
      <c r="Q52" s="15">
        <f>[6]FP!U41</f>
        <v>9.0596499999999995</v>
      </c>
      <c r="R52" s="15">
        <f>[3]REG1!Q52</f>
        <v>36.423290000000001</v>
      </c>
      <c r="S52" s="15">
        <f t="shared" si="25"/>
        <v>-27.363640000000004</v>
      </c>
      <c r="T52" s="15">
        <f t="shared" si="26"/>
        <v>-75.126766417860665</v>
      </c>
      <c r="U52" s="16"/>
      <c r="V52" s="15">
        <f>[7]FP!U41</f>
        <v>135.78638000000001</v>
      </c>
      <c r="W52" s="15">
        <f>[3]REG1!V52</f>
        <v>97.316360000000003</v>
      </c>
      <c r="X52" s="15">
        <f t="shared" si="27"/>
        <v>38.470020000000005</v>
      </c>
      <c r="Y52" s="15">
        <f t="shared" si="28"/>
        <v>39.530886687500441</v>
      </c>
      <c r="Z52" s="16"/>
      <c r="AA52" s="15">
        <f>[8]FP!U41</f>
        <v>1026.95217</v>
      </c>
      <c r="AB52" s="15">
        <f>[3]REG1!AA52</f>
        <v>880.56844999999998</v>
      </c>
      <c r="AC52" s="15">
        <f t="shared" si="29"/>
        <v>146.38372000000004</v>
      </c>
      <c r="AD52" s="15">
        <f t="shared" si="30"/>
        <v>16.62377524427545</v>
      </c>
      <c r="AE52" s="16"/>
      <c r="AF52" s="15">
        <f t="shared" si="33"/>
        <v>3889.14158</v>
      </c>
      <c r="AG52" s="15">
        <f t="shared" si="33"/>
        <v>2821.4779600000002</v>
      </c>
      <c r="AH52" s="15">
        <f t="shared" si="31"/>
        <v>1067.6636199999998</v>
      </c>
      <c r="AI52" s="15">
        <f t="shared" si="32"/>
        <v>37.840579835682995</v>
      </c>
      <c r="AK52" s="24"/>
    </row>
    <row r="53" spans="1:37" x14ac:dyDescent="0.2">
      <c r="A53" s="14" t="s">
        <v>47</v>
      </c>
      <c r="B53" s="15">
        <f>[2]FP!U42</f>
        <v>130555.84427999999</v>
      </c>
      <c r="C53" s="15">
        <f>[3]REG1!B53</f>
        <v>85372.742729999998</v>
      </c>
      <c r="D53" s="15">
        <f t="shared" si="19"/>
        <v>45183.101549999992</v>
      </c>
      <c r="E53" s="15">
        <f t="shared" si="20"/>
        <v>52.924505064685754</v>
      </c>
      <c r="F53" s="16"/>
      <c r="G53" s="15">
        <f>[4]FP!U42</f>
        <v>98520.131300000008</v>
      </c>
      <c r="H53" s="15">
        <f>[3]REG1!G53</f>
        <v>62007.448810000002</v>
      </c>
      <c r="I53" s="15">
        <f t="shared" si="21"/>
        <v>36512.682490000007</v>
      </c>
      <c r="J53" s="15">
        <f t="shared" si="22"/>
        <v>58.884348881825908</v>
      </c>
      <c r="K53" s="16"/>
      <c r="L53" s="15">
        <f>[5]FP!U42</f>
        <v>95387.119979999989</v>
      </c>
      <c r="M53" s="15">
        <f>[3]REG1!L53</f>
        <v>63067.319609999999</v>
      </c>
      <c r="N53" s="15">
        <f t="shared" si="23"/>
        <v>32319.80036999999</v>
      </c>
      <c r="O53" s="15">
        <f t="shared" si="24"/>
        <v>51.246510189209523</v>
      </c>
      <c r="P53" s="16"/>
      <c r="Q53" s="15">
        <f>[6]FP!U42</f>
        <v>64128.16517</v>
      </c>
      <c r="R53" s="15">
        <f>[3]REG1!Q53</f>
        <v>44293.638210000005</v>
      </c>
      <c r="S53" s="15">
        <f t="shared" si="25"/>
        <v>19834.526959999996</v>
      </c>
      <c r="T53" s="15">
        <f t="shared" si="26"/>
        <v>44.77962922341753</v>
      </c>
      <c r="U53" s="16"/>
      <c r="V53" s="15">
        <f>[7]FP!U42</f>
        <v>21788.65249</v>
      </c>
      <c r="W53" s="15">
        <f>[3]REG1!V53</f>
        <v>30257.58023</v>
      </c>
      <c r="X53" s="15">
        <f t="shared" si="27"/>
        <v>-8468.9277399999992</v>
      </c>
      <c r="Y53" s="15">
        <f t="shared" si="28"/>
        <v>-27.989441573398416</v>
      </c>
      <c r="Z53" s="16"/>
      <c r="AA53" s="15">
        <f>[8]FP!U42</f>
        <v>121633.34880000001</v>
      </c>
      <c r="AB53" s="15">
        <f>[3]REG1!AA53</f>
        <v>100389.52185</v>
      </c>
      <c r="AC53" s="15">
        <f t="shared" si="29"/>
        <v>21243.826950000002</v>
      </c>
      <c r="AD53" s="15">
        <f t="shared" si="30"/>
        <v>21.161398678382092</v>
      </c>
      <c r="AE53" s="16"/>
      <c r="AF53" s="15">
        <f t="shared" si="33"/>
        <v>532013.26202000002</v>
      </c>
      <c r="AG53" s="15">
        <f t="shared" si="33"/>
        <v>385388.25144000002</v>
      </c>
      <c r="AH53" s="15">
        <f t="shared" si="31"/>
        <v>146625.01058</v>
      </c>
      <c r="AI53" s="15">
        <f t="shared" si="32"/>
        <v>38.046050971231445</v>
      </c>
      <c r="AK53" s="24"/>
    </row>
    <row r="54" spans="1:37" hidden="1" x14ac:dyDescent="0.2">
      <c r="A54" s="14" t="s">
        <v>48</v>
      </c>
      <c r="B54" s="16"/>
      <c r="C54" s="16">
        <f>[3]REG1!B62</f>
        <v>0</v>
      </c>
      <c r="D54" s="16">
        <f t="shared" si="19"/>
        <v>0</v>
      </c>
      <c r="E54" s="16" t="e">
        <f t="shared" si="20"/>
        <v>#DIV/0!</v>
      </c>
      <c r="F54" s="16"/>
      <c r="G54" s="16"/>
      <c r="H54" s="16">
        <v>92777.437419999987</v>
      </c>
      <c r="I54" s="16">
        <f t="shared" si="21"/>
        <v>-92777.437419999987</v>
      </c>
      <c r="J54" s="16">
        <f t="shared" si="22"/>
        <v>-100</v>
      </c>
      <c r="K54" s="16"/>
      <c r="L54" s="16"/>
      <c r="M54" s="16">
        <v>94684.306649999984</v>
      </c>
      <c r="N54" s="16">
        <f t="shared" si="23"/>
        <v>-94684.306649999984</v>
      </c>
      <c r="O54" s="16">
        <f t="shared" si="24"/>
        <v>-100</v>
      </c>
      <c r="P54" s="16"/>
      <c r="Q54" s="16"/>
      <c r="R54" s="16">
        <v>85589.823010000007</v>
      </c>
      <c r="S54" s="16">
        <f t="shared" si="25"/>
        <v>-85589.823010000007</v>
      </c>
      <c r="T54" s="16">
        <f t="shared" si="26"/>
        <v>-100</v>
      </c>
      <c r="U54" s="16"/>
      <c r="V54" s="16"/>
      <c r="W54" s="16"/>
      <c r="X54" s="16">
        <f t="shared" si="27"/>
        <v>0</v>
      </c>
      <c r="Y54" s="16" t="e">
        <f t="shared" si="28"/>
        <v>#DIV/0!</v>
      </c>
      <c r="Z54" s="16"/>
      <c r="AA54" s="16"/>
      <c r="AB54" s="16"/>
      <c r="AC54" s="16">
        <f t="shared" si="29"/>
        <v>0</v>
      </c>
      <c r="AD54" s="16" t="e">
        <f t="shared" si="30"/>
        <v>#DIV/0!</v>
      </c>
      <c r="AE54" s="16"/>
      <c r="AF54" s="16">
        <f t="shared" si="33"/>
        <v>0</v>
      </c>
      <c r="AG54" s="16">
        <f t="shared" si="33"/>
        <v>273051.56707999995</v>
      </c>
      <c r="AH54" s="16">
        <f t="shared" si="31"/>
        <v>-273051.56707999995</v>
      </c>
      <c r="AI54" s="16">
        <f t="shared" si="32"/>
        <v>-100</v>
      </c>
      <c r="AK54" s="24"/>
    </row>
    <row r="55" spans="1:37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K55" s="23"/>
    </row>
    <row r="56" spans="1:37" ht="15.75" x14ac:dyDescent="0.25">
      <c r="A56" s="1" t="s">
        <v>49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K56" s="23"/>
    </row>
    <row r="57" spans="1:37" x14ac:dyDescent="0.2">
      <c r="A57" s="14" t="s">
        <v>50</v>
      </c>
      <c r="B57" s="15">
        <f>'[9]financial profile(mcso)'!AC11</f>
        <v>1120044.27681</v>
      </c>
      <c r="C57" s="15">
        <f>[3]REG1!B57</f>
        <v>1077844.4768099999</v>
      </c>
      <c r="D57" s="15">
        <f>B57-C57</f>
        <v>42199.800000000047</v>
      </c>
      <c r="E57" s="15">
        <f>D57/C57*100</f>
        <v>3.9152030657423813</v>
      </c>
      <c r="F57" s="16"/>
      <c r="G57" s="15">
        <f>'[9]financial profile(mcso)'!X11</f>
        <v>470026.34643999999</v>
      </c>
      <c r="H57" s="15">
        <f>[3]REG1!G57</f>
        <v>419937.72243999998</v>
      </c>
      <c r="I57" s="15">
        <f>G57-H57</f>
        <v>50088.624000000011</v>
      </c>
      <c r="J57" s="15">
        <f>I57/H57*100</f>
        <v>11.927631485203522</v>
      </c>
      <c r="K57" s="16"/>
      <c r="L57" s="15">
        <f>'[9]financial profile(mcso)'!Y11</f>
        <v>123211.94713</v>
      </c>
      <c r="M57" s="15">
        <f>[3]REG1!L57</f>
        <v>111691.55412999999</v>
      </c>
      <c r="N57" s="15">
        <f>L57-M57</f>
        <v>11520.393000000011</v>
      </c>
      <c r="O57" s="15">
        <f>N57/M57*100</f>
        <v>10.314471035644468</v>
      </c>
      <c r="P57" s="16"/>
      <c r="Q57" s="15">
        <f>'[9]financial profile(mcso)'!Z11</f>
        <v>397088.16211999988</v>
      </c>
      <c r="R57" s="15">
        <f>[3]REG1!Q57</f>
        <v>373390.32511999999</v>
      </c>
      <c r="S57" s="15">
        <f>Q57-R57</f>
        <v>23697.836999999883</v>
      </c>
      <c r="T57" s="15">
        <f>S57/R57*100</f>
        <v>6.346666050434993</v>
      </c>
      <c r="U57" s="16"/>
      <c r="V57" s="15">
        <f>'[9]financial profile(mcso)'!AA11</f>
        <v>11778.443720000001</v>
      </c>
      <c r="W57" s="15">
        <f>[3]REG1!V57</f>
        <v>11778.443720000001</v>
      </c>
      <c r="X57" s="16">
        <f>V57-W57</f>
        <v>0</v>
      </c>
      <c r="Y57" s="16">
        <f>X57/W57*100</f>
        <v>0</v>
      </c>
      <c r="Z57" s="16"/>
      <c r="AA57" s="15">
        <f>'[9]financial profile(mcso)'!AB11</f>
        <v>17082.406729999999</v>
      </c>
      <c r="AB57" s="15">
        <f>[3]REG1!AA57</f>
        <v>17082.406729999999</v>
      </c>
      <c r="AC57" s="15">
        <f>AA57-AB57</f>
        <v>0</v>
      </c>
      <c r="AD57" s="15">
        <f>AC57/AB57*100</f>
        <v>0</v>
      </c>
      <c r="AE57" s="16"/>
      <c r="AF57" s="15">
        <f>G57+L57+Q57+B57+V57+AA57</f>
        <v>2139231.5829499997</v>
      </c>
      <c r="AG57" s="15">
        <f>H57+M57+R57+C57+W57+AB57</f>
        <v>2011724.9289499999</v>
      </c>
      <c r="AH57" s="15">
        <f>AF57-AG57</f>
        <v>127506.65399999986</v>
      </c>
      <c r="AI57" s="15">
        <f>AH57/AG57*100</f>
        <v>6.3381753720450602</v>
      </c>
      <c r="AJ57" s="25"/>
      <c r="AK57" s="17"/>
    </row>
    <row r="58" spans="1:37" x14ac:dyDescent="0.2">
      <c r="A58" s="14" t="s">
        <v>51</v>
      </c>
      <c r="B58" s="15">
        <f>'[9]financial profile(mcso)'!AC12</f>
        <v>1130597.2464099999</v>
      </c>
      <c r="C58" s="15">
        <f>[3]REG1!B58</f>
        <v>1077847.4964099999</v>
      </c>
      <c r="D58" s="15">
        <f>B58-C58</f>
        <v>52749.75</v>
      </c>
      <c r="E58" s="15">
        <f>D58/C58*100</f>
        <v>4.8939901215797459</v>
      </c>
      <c r="F58" s="16"/>
      <c r="G58" s="15">
        <f>'[9]financial profile(mcso)'!X12</f>
        <v>461446.67873999994</v>
      </c>
      <c r="H58" s="15">
        <f>[3]REG1!G58</f>
        <v>419988.92633999995</v>
      </c>
      <c r="I58" s="15">
        <f>G58-H58</f>
        <v>41457.752399999998</v>
      </c>
      <c r="J58" s="15">
        <f>I58/H58*100</f>
        <v>9.8711536899994545</v>
      </c>
      <c r="K58" s="16"/>
      <c r="L58" s="15">
        <f>'[9]financial profile(mcso)'!Y12</f>
        <v>130162.22871</v>
      </c>
      <c r="M58" s="15">
        <f>[3]REG1!L58</f>
        <v>118641.83571</v>
      </c>
      <c r="N58" s="15">
        <f>L58-M58</f>
        <v>11520.392999999996</v>
      </c>
      <c r="O58" s="15">
        <f>N58/M58*100</f>
        <v>9.7102282100216808</v>
      </c>
      <c r="P58" s="16"/>
      <c r="Q58" s="15">
        <f>'[9]financial profile(mcso)'!Z12</f>
        <v>407899.99946000002</v>
      </c>
      <c r="R58" s="15">
        <f>[3]REG1!Q58</f>
        <v>386276.35545999999</v>
      </c>
      <c r="S58" s="15">
        <f>Q58-R58</f>
        <v>21623.644000000029</v>
      </c>
      <c r="T58" s="15">
        <f>S58/R58*100</f>
        <v>5.5979724604808796</v>
      </c>
      <c r="U58" s="16"/>
      <c r="V58" s="15">
        <f>'[9]financial profile(mcso)'!AA12</f>
        <v>11778.443720000001</v>
      </c>
      <c r="W58" s="15">
        <f>[3]REG1!V58</f>
        <v>11778.443720000001</v>
      </c>
      <c r="X58" s="16">
        <f>V58-W58</f>
        <v>0</v>
      </c>
      <c r="Y58" s="16">
        <f>X58/W58*100</f>
        <v>0</v>
      </c>
      <c r="Z58" s="16"/>
      <c r="AA58" s="15">
        <f>'[9]financial profile(mcso)'!AB12</f>
        <v>17082.407639999987</v>
      </c>
      <c r="AB58" s="15">
        <f>[3]REG1!AA58</f>
        <v>17082.407639999987</v>
      </c>
      <c r="AC58" s="15">
        <f>AA58-AB58</f>
        <v>0</v>
      </c>
      <c r="AD58" s="15">
        <f>AC58/AB58*100</f>
        <v>0</v>
      </c>
      <c r="AE58" s="16"/>
      <c r="AF58" s="15">
        <f>G58+L58+Q58+B58+V58+AA58</f>
        <v>2158967.0046799993</v>
      </c>
      <c r="AG58" s="15">
        <f>H58+M58+R58+C58+W58+AB58</f>
        <v>2031615.4652799999</v>
      </c>
      <c r="AH58" s="15">
        <f>AF58-AG58</f>
        <v>127351.53939999943</v>
      </c>
      <c r="AI58" s="15">
        <f>AH58/AG58*100</f>
        <v>6.2684864127300619</v>
      </c>
      <c r="AJ58" s="25"/>
    </row>
    <row r="59" spans="1:37" x14ac:dyDescent="0.2">
      <c r="A59" s="14" t="s">
        <v>52</v>
      </c>
      <c r="B59" s="16">
        <f>'[9]financial profile(mcso)'!AC13</f>
        <v>-1.0002862193659641</v>
      </c>
      <c r="C59" s="16">
        <f>[3]REG1!B59</f>
        <v>-2.8621936596852376E-4</v>
      </c>
      <c r="D59" s="16">
        <f>B59-C59</f>
        <v>-0.99999999999999556</v>
      </c>
      <c r="E59" s="15">
        <f>D59/C59*100</f>
        <v>349382.3685256741</v>
      </c>
      <c r="F59" s="16"/>
      <c r="G59" s="16">
        <f>'[9]financial profile(mcso)'!X13</f>
        <v>0.68515898540155928</v>
      </c>
      <c r="H59" s="16">
        <f>[3]REG1!G59</f>
        <v>-4.089064215456511E-3</v>
      </c>
      <c r="I59" s="16">
        <f>G59-H59</f>
        <v>0.6892480496170158</v>
      </c>
      <c r="J59" s="15">
        <f>I59/H59*100</f>
        <v>-16855.887149232916</v>
      </c>
      <c r="K59" s="16"/>
      <c r="L59" s="16">
        <f>'[9]financial profile(mcso)'!Y13</f>
        <v>-5.6953975513241017</v>
      </c>
      <c r="M59" s="16">
        <f>[3]REG1!L59</f>
        <v>-2.0243381352377874</v>
      </c>
      <c r="N59" s="16">
        <f>L59-M59</f>
        <v>-3.6710594160863144</v>
      </c>
      <c r="O59" s="15">
        <f>N59/M59*100</f>
        <v>181.34615715546437</v>
      </c>
      <c r="P59" s="16"/>
      <c r="Q59" s="16">
        <f>'[9]financial profile(mcso)'!Z13</f>
        <v>-2.0000028376346086</v>
      </c>
      <c r="R59" s="16">
        <f>[3]REG1!Q59</f>
        <v>-1.7226942494954316</v>
      </c>
      <c r="S59" s="16">
        <f>Q59-R59</f>
        <v>-0.27730858813917703</v>
      </c>
      <c r="T59" s="15">
        <f>S59/R59*100</f>
        <v>16.097377013965147</v>
      </c>
      <c r="U59" s="16"/>
      <c r="V59" s="16">
        <f>'[9]financial profile(mcso)'!AA13</f>
        <v>0</v>
      </c>
      <c r="W59" s="16">
        <f>[3]REG1!V59</f>
        <v>0</v>
      </c>
      <c r="X59" s="16">
        <f>V59-W59</f>
        <v>0</v>
      </c>
      <c r="Y59" s="16"/>
      <c r="Z59" s="16"/>
      <c r="AA59" s="16">
        <f>'[9]financial profile(mcso)'!AB13</f>
        <v>0</v>
      </c>
      <c r="AB59" s="16">
        <f>[3]REG1!AA59</f>
        <v>0</v>
      </c>
      <c r="AC59" s="16">
        <f>AA59-AB59</f>
        <v>0</v>
      </c>
      <c r="AD59" s="16"/>
      <c r="AE59" s="16"/>
      <c r="AF59" s="16">
        <f>+'[9]financial profile(mcso)'!$I$16</f>
        <v>-0.66452923243209117</v>
      </c>
      <c r="AG59" s="16">
        <f>+'[10]financial profile(mcso)'!$I$16</f>
        <v>-0.58526318581675807</v>
      </c>
      <c r="AH59" s="16">
        <f>AF59-AG59</f>
        <v>-7.9266046615333097E-2</v>
      </c>
      <c r="AI59" s="15"/>
    </row>
    <row r="60" spans="1:37" x14ac:dyDescent="0.2">
      <c r="A60" s="14" t="s">
        <v>53</v>
      </c>
      <c r="B60" s="15">
        <f>'[9]financial profile(mcso)'!AC14</f>
        <v>-10552.969599999953</v>
      </c>
      <c r="C60" s="15">
        <f>[3]REG1!B60</f>
        <v>-3.0195999999996275</v>
      </c>
      <c r="D60" s="15">
        <f>B60-C60</f>
        <v>-10549.949999999953</v>
      </c>
      <c r="E60" s="15">
        <f>D60/C60*100</f>
        <v>349382.3685256741</v>
      </c>
      <c r="F60" s="16"/>
      <c r="G60" s="15">
        <f>'[9]financial profile(mcso)'!X14</f>
        <v>8579.6677000000491</v>
      </c>
      <c r="H60" s="15">
        <f>[3]REG1!G60</f>
        <v>-51.203899999964051</v>
      </c>
      <c r="I60" s="15">
        <f>G60-H60</f>
        <v>8630.8716000000131</v>
      </c>
      <c r="J60" s="15">
        <f>I60/H60*100</f>
        <v>-16855.887149232916</v>
      </c>
      <c r="K60" s="16"/>
      <c r="L60" s="15">
        <f>'[9]financial profile(mcso)'!Y14</f>
        <v>-6950.2815799999953</v>
      </c>
      <c r="M60" s="15">
        <f>[3]REG1!L60</f>
        <v>-6950.2815800000099</v>
      </c>
      <c r="N60" s="15">
        <f>L60-M60</f>
        <v>1.4551915228366852E-11</v>
      </c>
      <c r="O60" s="15">
        <f>N60/M60*100</f>
        <v>-2.0937159251563492E-13</v>
      </c>
      <c r="P60" s="16"/>
      <c r="Q60" s="15">
        <f>'[9]financial profile(mcso)'!Z14</f>
        <v>-10811.837340000144</v>
      </c>
      <c r="R60" s="15">
        <f>[3]REG1!Q60</f>
        <v>-12886.030339999998</v>
      </c>
      <c r="S60" s="15">
        <f>Q60-R60</f>
        <v>2074.1929999998538</v>
      </c>
      <c r="T60" s="15">
        <f>S60/R60*100</f>
        <v>-16.096446657907325</v>
      </c>
      <c r="U60" s="16"/>
      <c r="V60" s="16">
        <f>'[9]financial profile(mcso)'!AA14</f>
        <v>0</v>
      </c>
      <c r="W60" s="16">
        <f>[3]REG1!V60</f>
        <v>0</v>
      </c>
      <c r="X60" s="16">
        <f>V60-W60</f>
        <v>0</v>
      </c>
      <c r="Y60" s="16"/>
      <c r="Z60" s="16"/>
      <c r="AA60" s="16">
        <f>'[9]financial profile(mcso)'!AB14</f>
        <v>-9.0999998792540282E-4</v>
      </c>
      <c r="AB60" s="16">
        <f>[3]REG1!AA60</f>
        <v>-9.0999998792540282E-4</v>
      </c>
      <c r="AC60" s="16">
        <f>AA60-AB60</f>
        <v>0</v>
      </c>
      <c r="AD60" s="16"/>
      <c r="AE60" s="16"/>
      <c r="AF60" s="15">
        <f>G60+L60+Q60+B60+V60+AA60</f>
        <v>-19735.421730000031</v>
      </c>
      <c r="AG60" s="15">
        <f>H60+M60+R60+C60+W60+AB60</f>
        <v>-19890.536329999959</v>
      </c>
      <c r="AH60" s="15">
        <f>AF60-AG60</f>
        <v>155.11459999992803</v>
      </c>
      <c r="AI60" s="15">
        <f>AH60/AG60*100</f>
        <v>-0.77984121406508267</v>
      </c>
    </row>
    <row r="61" spans="1:37" x14ac:dyDescent="0.2">
      <c r="A61" s="14" t="s">
        <v>54</v>
      </c>
      <c r="B61" s="15">
        <f>'[9]financial profile(mcso)'!AC15</f>
        <v>120712.65417000001</v>
      </c>
      <c r="C61" s="15">
        <f>[3]REG1!B61</f>
        <v>163965.60116999998</v>
      </c>
      <c r="D61" s="15">
        <f>B61-C61</f>
        <v>-43252.946999999971</v>
      </c>
      <c r="E61" s="15">
        <f>D61/C61*100</f>
        <v>-26.379281197618514</v>
      </c>
      <c r="F61" s="16"/>
      <c r="G61" s="15">
        <f>'[9]financial profile(mcso)'!X15</f>
        <v>201429.76338999998</v>
      </c>
      <c r="H61" s="15">
        <f>[3]REG1!G61</f>
        <v>231718.37378999998</v>
      </c>
      <c r="I61" s="15">
        <f>G61-H61</f>
        <v>-30288.610400000005</v>
      </c>
      <c r="J61" s="15">
        <f>I61/H61*100</f>
        <v>-13.071302851214442</v>
      </c>
      <c r="K61" s="16"/>
      <c r="L61" s="15">
        <f>'[9]financial profile(mcso)'!Y15</f>
        <v>9332.9058800000003</v>
      </c>
      <c r="M61" s="15">
        <f>[3]REG1!L61</f>
        <v>19477.205879999998</v>
      </c>
      <c r="N61" s="15">
        <f>L61-M61</f>
        <v>-10144.299999999997</v>
      </c>
      <c r="O61" s="15">
        <f>N61/M61*100</f>
        <v>-52.082932544326525</v>
      </c>
      <c r="P61" s="16"/>
      <c r="Q61" s="15">
        <f>'[9]financial profile(mcso)'!Z15</f>
        <v>122423.02331</v>
      </c>
      <c r="R61" s="15">
        <f>[3]REG1!Q61</f>
        <v>135510.76431</v>
      </c>
      <c r="S61" s="15">
        <f>Q61-R61</f>
        <v>-13087.740999999995</v>
      </c>
      <c r="T61" s="15">
        <f>S61/R61*100</f>
        <v>-9.6580821949021995</v>
      </c>
      <c r="U61" s="16"/>
      <c r="V61" s="16">
        <f>'[9]financial profile(mcso)'!AA15</f>
        <v>0</v>
      </c>
      <c r="W61" s="16">
        <f>[3]REG1!V61</f>
        <v>0</v>
      </c>
      <c r="X61" s="16">
        <f>V61-W61</f>
        <v>0</v>
      </c>
      <c r="Y61" s="16"/>
      <c r="Z61" s="16"/>
      <c r="AA61" s="15">
        <f>'[9]financial profile(mcso)'!AB15</f>
        <v>-9.1E-4</v>
      </c>
      <c r="AB61" s="15">
        <f>[3]REG1!AA61</f>
        <v>-9.1E-4</v>
      </c>
      <c r="AC61" s="15">
        <f>AA61-AB61</f>
        <v>0</v>
      </c>
      <c r="AD61" s="15">
        <f>AC61/AB61*100</f>
        <v>0</v>
      </c>
      <c r="AE61" s="16"/>
      <c r="AF61" s="15">
        <f>G61+L61+Q61+B61+V61+AA61</f>
        <v>453898.34583999997</v>
      </c>
      <c r="AG61" s="15">
        <f>H61+M61+R61+C61+W61+AB61</f>
        <v>550671.9442400001</v>
      </c>
      <c r="AH61" s="15">
        <f>AF61-AG61</f>
        <v>-96773.598400000134</v>
      </c>
      <c r="AI61" s="15">
        <f>AH61/AG61*100</f>
        <v>-17.573729588414107</v>
      </c>
    </row>
    <row r="62" spans="1:37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</row>
    <row r="63" spans="1:37" ht="15.75" x14ac:dyDescent="0.25">
      <c r="A63" s="1" t="s">
        <v>55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</row>
    <row r="64" spans="1:37" ht="15.75" x14ac:dyDescent="0.25">
      <c r="A64" s="1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7" x14ac:dyDescent="0.2">
      <c r="A65" s="14" t="s">
        <v>56</v>
      </c>
      <c r="B65" s="15">
        <v>528634</v>
      </c>
      <c r="C65" s="15">
        <v>445910</v>
      </c>
      <c r="D65" s="15">
        <f>B65-C65</f>
        <v>82724</v>
      </c>
      <c r="E65" s="15">
        <f>D65/C65*100</f>
        <v>18.55172568455518</v>
      </c>
      <c r="F65" s="16"/>
      <c r="G65" s="15">
        <v>350276</v>
      </c>
      <c r="H65" s="15">
        <v>295821</v>
      </c>
      <c r="I65" s="15">
        <f>G65-H65</f>
        <v>54455</v>
      </c>
      <c r="J65" s="15">
        <f>I65/H65*100</f>
        <v>18.408091379584278</v>
      </c>
      <c r="K65" s="16"/>
      <c r="L65" s="15">
        <v>338463</v>
      </c>
      <c r="M65" s="15">
        <v>289947.59694322577</v>
      </c>
      <c r="N65" s="15">
        <f>L65-M65</f>
        <v>48515.40305677423</v>
      </c>
      <c r="O65" s="15">
        <f>N65/M65*100</f>
        <v>16.73247289104933</v>
      </c>
      <c r="P65" s="16"/>
      <c r="Q65" s="15">
        <v>268641</v>
      </c>
      <c r="R65" s="15">
        <v>228928</v>
      </c>
      <c r="S65" s="15">
        <f>Q65-R65</f>
        <v>39713</v>
      </c>
      <c r="T65" s="15">
        <f>S65/R65*100</f>
        <v>17.347375594073245</v>
      </c>
      <c r="U65" s="16"/>
      <c r="V65" s="15">
        <v>164629</v>
      </c>
      <c r="W65" s="15">
        <v>139236</v>
      </c>
      <c r="X65" s="15">
        <f>V65-W65</f>
        <v>25393</v>
      </c>
      <c r="Y65" s="15">
        <f>X65/W65*100</f>
        <v>18.237381137062254</v>
      </c>
      <c r="Z65" s="16"/>
      <c r="AA65" s="15">
        <v>475183</v>
      </c>
      <c r="AB65" s="15">
        <v>411927</v>
      </c>
      <c r="AC65" s="15">
        <f>AA65-AB65</f>
        <v>63256</v>
      </c>
      <c r="AD65" s="15">
        <f>AC65/AB65*100</f>
        <v>15.356118923984106</v>
      </c>
      <c r="AE65" s="16"/>
      <c r="AF65" s="15">
        <f t="shared" ref="AF65:AG67" si="34">G65+L65+Q65+B65+V65+AA65</f>
        <v>2125826</v>
      </c>
      <c r="AG65" s="15">
        <f t="shared" si="34"/>
        <v>1811769.5969432257</v>
      </c>
      <c r="AH65" s="15">
        <f>AF65-AG65</f>
        <v>314056.40305677429</v>
      </c>
      <c r="AI65" s="15">
        <f>AH65/AG65*100</f>
        <v>17.334235191198854</v>
      </c>
      <c r="AK65" s="17"/>
    </row>
    <row r="66" spans="1:37" x14ac:dyDescent="0.2">
      <c r="A66" s="14" t="s">
        <v>57</v>
      </c>
      <c r="B66" s="15">
        <v>467268</v>
      </c>
      <c r="C66" s="15">
        <v>396130</v>
      </c>
      <c r="D66" s="15">
        <f>B66-C66</f>
        <v>71138</v>
      </c>
      <c r="E66" s="15">
        <f>D66/C66*100</f>
        <v>17.958246030343574</v>
      </c>
      <c r="F66" s="16"/>
      <c r="G66" s="15">
        <v>316199</v>
      </c>
      <c r="H66" s="15">
        <v>263532</v>
      </c>
      <c r="I66" s="15">
        <f>G66-H66</f>
        <v>52667</v>
      </c>
      <c r="J66" s="15">
        <f>I66/H66*100</f>
        <v>19.985049253980542</v>
      </c>
      <c r="K66" s="16"/>
      <c r="L66" s="15">
        <v>307731</v>
      </c>
      <c r="M66" s="15">
        <v>263988.31</v>
      </c>
      <c r="N66" s="15">
        <f>L66-M66</f>
        <v>43742.69</v>
      </c>
      <c r="O66" s="15">
        <f>N66/M66*100</f>
        <v>16.569934479295696</v>
      </c>
      <c r="P66" s="16"/>
      <c r="Q66" s="15">
        <v>240861</v>
      </c>
      <c r="R66" s="15">
        <v>206018</v>
      </c>
      <c r="S66" s="15">
        <f>Q66-R66</f>
        <v>34843</v>
      </c>
      <c r="T66" s="15">
        <f>S66/R66*100</f>
        <v>16.912599869914281</v>
      </c>
      <c r="U66" s="16"/>
      <c r="V66" s="15">
        <v>144967</v>
      </c>
      <c r="W66" s="15">
        <v>122321</v>
      </c>
      <c r="X66" s="15">
        <f>V66-W66</f>
        <v>22646</v>
      </c>
      <c r="Y66" s="15">
        <f>X66/W66*100</f>
        <v>18.5135831132839</v>
      </c>
      <c r="Z66" s="16"/>
      <c r="AA66" s="15">
        <v>426945</v>
      </c>
      <c r="AB66" s="15">
        <v>369390</v>
      </c>
      <c r="AC66" s="15">
        <f>AA66-AB66</f>
        <v>57555</v>
      </c>
      <c r="AD66" s="15">
        <f>AC66/AB66*100</f>
        <v>15.58109315357752</v>
      </c>
      <c r="AE66" s="16"/>
      <c r="AF66" s="15">
        <f t="shared" si="34"/>
        <v>1903971</v>
      </c>
      <c r="AG66" s="15">
        <f t="shared" si="34"/>
        <v>1621379.31</v>
      </c>
      <c r="AH66" s="15">
        <f>AF66-AG66</f>
        <v>282591.68999999994</v>
      </c>
      <c r="AI66" s="15">
        <f>AH66/AG66*100</f>
        <v>17.429091900771816</v>
      </c>
      <c r="AK66" s="17"/>
    </row>
    <row r="67" spans="1:37" x14ac:dyDescent="0.2">
      <c r="A67" s="14" t="s">
        <v>58</v>
      </c>
      <c r="B67" s="15">
        <v>1900</v>
      </c>
      <c r="C67" s="15">
        <v>2340</v>
      </c>
      <c r="D67" s="15">
        <f>B67-C67</f>
        <v>-440</v>
      </c>
      <c r="E67" s="15">
        <f>D67/C67*100</f>
        <v>-18.803418803418804</v>
      </c>
      <c r="F67" s="16"/>
      <c r="G67" s="15">
        <v>448</v>
      </c>
      <c r="H67" s="15">
        <v>418</v>
      </c>
      <c r="I67" s="15">
        <f>G67-H67</f>
        <v>30</v>
      </c>
      <c r="J67" s="15">
        <f>I67/H67*100</f>
        <v>7.1770334928229662</v>
      </c>
      <c r="K67" s="16"/>
      <c r="L67" s="15">
        <v>481</v>
      </c>
      <c r="M67" s="15">
        <v>487.94099999999997</v>
      </c>
      <c r="N67" s="15">
        <f>L67-M67</f>
        <v>-6.9409999999999741</v>
      </c>
      <c r="O67" s="15">
        <f>N67/M67*100</f>
        <v>-1.4225080491288853</v>
      </c>
      <c r="P67" s="16"/>
      <c r="Q67" s="15">
        <v>487</v>
      </c>
      <c r="R67" s="15">
        <v>432</v>
      </c>
      <c r="S67" s="15">
        <f>Q67-R67</f>
        <v>55</v>
      </c>
      <c r="T67" s="15">
        <f>S67/R67*100</f>
        <v>12.731481481481483</v>
      </c>
      <c r="U67" s="16"/>
      <c r="V67" s="15">
        <v>0</v>
      </c>
      <c r="W67" s="16">
        <v>0</v>
      </c>
      <c r="X67" s="16">
        <f>V67-W67</f>
        <v>0</v>
      </c>
      <c r="Y67" s="16"/>
      <c r="Z67" s="16"/>
      <c r="AA67" s="15">
        <v>910</v>
      </c>
      <c r="AB67" s="15">
        <v>933</v>
      </c>
      <c r="AC67" s="15">
        <f>AA67-AB67</f>
        <v>-23</v>
      </c>
      <c r="AD67" s="15">
        <f>AC67/AB67*100</f>
        <v>-2.465166130760986</v>
      </c>
      <c r="AE67" s="16"/>
      <c r="AF67" s="15">
        <f t="shared" si="34"/>
        <v>4226</v>
      </c>
      <c r="AG67" s="15">
        <f t="shared" si="34"/>
        <v>4610.9409999999998</v>
      </c>
      <c r="AH67" s="15">
        <f>AF67-AG67</f>
        <v>-384.9409999999998</v>
      </c>
      <c r="AI67" s="15">
        <f>AH67/AG67*100</f>
        <v>-8.3484260588023087</v>
      </c>
      <c r="AK67" s="17"/>
    </row>
    <row r="68" spans="1:37" x14ac:dyDescent="0.2">
      <c r="A68" s="14" t="s">
        <v>59</v>
      </c>
      <c r="B68" s="16">
        <f>SUM(B65-B66-B67)/B65*100</f>
        <v>11.24899268681167</v>
      </c>
      <c r="C68" s="16">
        <f>SUM(C65-C66-C67)/C65*100</f>
        <v>10.638918167343187</v>
      </c>
      <c r="D68" s="16"/>
      <c r="E68" s="16">
        <f>B68-C68</f>
        <v>0.61007451946848335</v>
      </c>
      <c r="F68" s="16"/>
      <c r="G68" s="16">
        <f>SUM(G65-G66-G67)/G65*100</f>
        <v>9.6007148648494329</v>
      </c>
      <c r="H68" s="16">
        <f>SUM(H65-H66-H67)/H65*100</f>
        <v>10.773744933591598</v>
      </c>
      <c r="I68" s="16"/>
      <c r="J68" s="16">
        <f>G68-H68</f>
        <v>-1.1730300687421646</v>
      </c>
      <c r="K68" s="16"/>
      <c r="L68" s="16">
        <f>SUM(L65-L66-L67)/L65*100</f>
        <v>8.9377568596862886</v>
      </c>
      <c r="M68" s="16">
        <f>SUM(M65-M66-M67)/M65*100</f>
        <v>8.7848101559583824</v>
      </c>
      <c r="N68" s="16"/>
      <c r="O68" s="16">
        <f>L68-M68</f>
        <v>0.1529467037279062</v>
      </c>
      <c r="P68" s="16"/>
      <c r="Q68" s="16">
        <f>SUM(Q65-Q66-Q67)/Q65*100</f>
        <v>10.159655450954991</v>
      </c>
      <c r="R68" s="16">
        <f>SUM(R65-R66-R67)/R65*100</f>
        <v>9.8188076600503216</v>
      </c>
      <c r="S68" s="16"/>
      <c r="T68" s="16">
        <f>Q68-R68</f>
        <v>0.34084779090466988</v>
      </c>
      <c r="U68" s="16"/>
      <c r="V68" s="16">
        <f>SUM(V65-V66-V67)/V65*100</f>
        <v>11.943217780585437</v>
      </c>
      <c r="W68" s="16">
        <f>SUM(W65-W66-W67)/W65*100</f>
        <v>12.148438622195409</v>
      </c>
      <c r="X68" s="16" t="s">
        <v>60</v>
      </c>
      <c r="Y68" s="16">
        <f>V68-W68</f>
        <v>-0.20522084160997167</v>
      </c>
      <c r="Z68" s="16"/>
      <c r="AA68" s="16">
        <f>SUM(AA65-AA66-AA67)/AA65*100</f>
        <v>9.9599522710197963</v>
      </c>
      <c r="AB68" s="16">
        <f>SUM(AB65-AB66-AB67)/AB65*100</f>
        <v>10.099847788564478</v>
      </c>
      <c r="AC68" s="16"/>
      <c r="AD68" s="16">
        <f>AA68-AB68</f>
        <v>-0.13989551754468188</v>
      </c>
      <c r="AE68" s="16"/>
      <c r="AF68" s="16">
        <f>SUM(AF65-AF66-AF67)/AF65*100</f>
        <v>10.237385373967578</v>
      </c>
      <c r="AG68" s="16">
        <f>SUM(AG65-AG66-AG67)/AG65*100</f>
        <v>10.254027126664898</v>
      </c>
      <c r="AH68" s="16"/>
      <c r="AI68" s="16">
        <f>AF68-AG68</f>
        <v>-1.664175269731949E-2</v>
      </c>
      <c r="AK68" s="17"/>
    </row>
    <row r="69" spans="1:37" x14ac:dyDescent="0.2">
      <c r="A69" s="14" t="s">
        <v>61</v>
      </c>
      <c r="B69" s="16">
        <f>B13/(B66+B67)</f>
        <v>10.749440440737645</v>
      </c>
      <c r="C69" s="16">
        <f>C13/(C66+C67)</f>
        <v>13.807104102341457</v>
      </c>
      <c r="D69" s="16">
        <f>B69-C69</f>
        <v>-3.0576636616038115</v>
      </c>
      <c r="E69" s="16">
        <f>D69/C69*100</f>
        <v>-22.145582730018543</v>
      </c>
      <c r="F69" s="16"/>
      <c r="G69" s="16">
        <f>G13/(G66+G67)</f>
        <v>9.0480762363136247</v>
      </c>
      <c r="H69" s="16">
        <f>H13/(H66+H67)</f>
        <v>13.097176604243229</v>
      </c>
      <c r="I69" s="16">
        <f>G69-H69</f>
        <v>-4.0491003679296043</v>
      </c>
      <c r="J69" s="16">
        <f>I69/H69*100</f>
        <v>-30.915826290513444</v>
      </c>
      <c r="K69" s="16"/>
      <c r="L69" s="16">
        <f>L13/(L66+L67)</f>
        <v>9.959517267335471</v>
      </c>
      <c r="M69" s="16">
        <f>M13/(M66+M67)</f>
        <v>12.737502581734644</v>
      </c>
      <c r="N69" s="16">
        <f>L69-M69</f>
        <v>-2.7779853143991726</v>
      </c>
      <c r="O69" s="16">
        <f>N69/M69*100</f>
        <v>-21.809497557101619</v>
      </c>
      <c r="P69" s="16"/>
      <c r="Q69" s="16">
        <f>Q13/(Q66+Q67)</f>
        <v>10.55317466326632</v>
      </c>
      <c r="R69" s="16">
        <f>R13/(R66+R67)</f>
        <v>12.391963625720514</v>
      </c>
      <c r="S69" s="16">
        <f>Q69-R69</f>
        <v>-1.8387889624541938</v>
      </c>
      <c r="T69" s="16">
        <f>S69/R69*100</f>
        <v>-14.838560037713796</v>
      </c>
      <c r="U69" s="16"/>
      <c r="V69" s="16">
        <f>V13/(V66+V67)</f>
        <v>9.9056438297681542</v>
      </c>
      <c r="W69" s="16">
        <f>W13/(W66+W67)</f>
        <v>13.071815650460673</v>
      </c>
      <c r="X69" s="16">
        <f>V69-W69</f>
        <v>-3.1661718206925187</v>
      </c>
      <c r="Y69" s="16">
        <f>X69/W69*100</f>
        <v>-24.221362244968144</v>
      </c>
      <c r="Z69" s="16"/>
      <c r="AA69" s="16">
        <f>AA13/(AA66+AA67)</f>
        <v>10.51405683049164</v>
      </c>
      <c r="AB69" s="16">
        <f>AB13/(AB66+AB67)</f>
        <v>12.745513657617808</v>
      </c>
      <c r="AC69" s="16">
        <f>AA69-AB69</f>
        <v>-2.2314568271261681</v>
      </c>
      <c r="AD69" s="16">
        <f>AC69/AB69*100</f>
        <v>-17.507782636853232</v>
      </c>
      <c r="AE69" s="16"/>
      <c r="AF69" s="16">
        <f>AF13/(AF66+AF67)</f>
        <v>10.197821953189321</v>
      </c>
      <c r="AG69" s="16">
        <f>AG13/(AG66+AG67)</f>
        <v>13.04111064637004</v>
      </c>
      <c r="AH69" s="16">
        <f>AF69-AG69</f>
        <v>-2.8432886931807193</v>
      </c>
      <c r="AI69" s="16">
        <f>AH69/AG69*100</f>
        <v>-21.802504175303056</v>
      </c>
      <c r="AK69" s="20"/>
    </row>
    <row r="70" spans="1:37" x14ac:dyDescent="0.2">
      <c r="A70" s="14" t="s">
        <v>62</v>
      </c>
      <c r="B70" s="16">
        <f>B22/B65</f>
        <v>7.9659481323373065</v>
      </c>
      <c r="C70" s="16">
        <f>C22/C65</f>
        <v>9.8724963573366828</v>
      </c>
      <c r="D70" s="16">
        <f>B70-C70</f>
        <v>-1.9065482249993764</v>
      </c>
      <c r="E70" s="16">
        <f>D70/C70*100</f>
        <v>-19.311713633427043</v>
      </c>
      <c r="F70" s="16"/>
      <c r="G70" s="16">
        <f>G22/G65</f>
        <v>6.8597145456440076</v>
      </c>
      <c r="H70" s="16">
        <f>H22/H65</f>
        <v>8.9220773145922703</v>
      </c>
      <c r="I70" s="16">
        <f>G70-H70</f>
        <v>-2.0623627689482626</v>
      </c>
      <c r="J70" s="16">
        <f>I70/H70*100</f>
        <v>-23.115275694542785</v>
      </c>
      <c r="K70" s="16"/>
      <c r="L70" s="16">
        <f>L22/L65</f>
        <v>6.9402603298440289</v>
      </c>
      <c r="M70" s="16">
        <f>M22/M65</f>
        <v>8.8939047937857012</v>
      </c>
      <c r="N70" s="16">
        <f>L70-M70</f>
        <v>-1.9536444639416723</v>
      </c>
      <c r="O70" s="16">
        <f>N70/M70*100</f>
        <v>-21.966104981320598</v>
      </c>
      <c r="P70" s="16"/>
      <c r="Q70" s="16">
        <f>Q22/Q65</f>
        <v>6.9950290073369299</v>
      </c>
      <c r="R70" s="16">
        <f>R22/R65</f>
        <v>8.5569065465998051</v>
      </c>
      <c r="S70" s="16">
        <f>Q70-R70</f>
        <v>-1.5618775392628752</v>
      </c>
      <c r="T70" s="16">
        <f>S70/R70*100</f>
        <v>-18.252829229314266</v>
      </c>
      <c r="U70" s="16"/>
      <c r="V70" s="16">
        <f>V22/V65</f>
        <v>6.79348523771632</v>
      </c>
      <c r="W70" s="16">
        <f>W22/W65</f>
        <v>8.9105349690453615</v>
      </c>
      <c r="X70" s="16">
        <f>V70-W70</f>
        <v>-2.1170497313290415</v>
      </c>
      <c r="Y70" s="16">
        <f>X70/W70*100</f>
        <v>-23.7589520571272</v>
      </c>
      <c r="Z70" s="16"/>
      <c r="AA70" s="16">
        <f>AA21/AA65</f>
        <v>8.2052811011968032</v>
      </c>
      <c r="AB70" s="16">
        <f>AB21/AB65</f>
        <v>10.056177625380224</v>
      </c>
      <c r="AC70" s="16">
        <f>AA70-AB70</f>
        <v>-1.8508965241834208</v>
      </c>
      <c r="AD70" s="16">
        <f>AC70/AB70*100</f>
        <v>-18.40556713628493</v>
      </c>
      <c r="AE70" s="16"/>
      <c r="AF70" s="16">
        <f>AF22/AF65</f>
        <v>7.1396714421406076</v>
      </c>
      <c r="AG70" s="16">
        <f>AG22/AG65</f>
        <v>8.9956773137642632</v>
      </c>
      <c r="AH70" s="16">
        <f>AF70-AG70</f>
        <v>-1.8560058716236556</v>
      </c>
      <c r="AI70" s="16">
        <f>AH70/AG70*100</f>
        <v>-20.632197075186166</v>
      </c>
      <c r="AK70" s="20"/>
    </row>
    <row r="71" spans="1:37" hidden="1" x14ac:dyDescent="0.2">
      <c r="A71" s="14" t="s">
        <v>63</v>
      </c>
      <c r="B71" s="16"/>
      <c r="C71" s="16">
        <f>[3]REG1!B71</f>
        <v>0</v>
      </c>
      <c r="D71" s="16"/>
      <c r="E71" s="16"/>
      <c r="F71" s="16"/>
      <c r="G71" s="26"/>
      <c r="H71" s="26">
        <f>[3]REG1!G71</f>
        <v>0</v>
      </c>
      <c r="I71" s="16"/>
      <c r="J71" s="16"/>
      <c r="K71" s="16"/>
      <c r="L71" s="26"/>
      <c r="M71" s="26">
        <f>[3]REG1!L71</f>
        <v>0</v>
      </c>
      <c r="N71" s="16"/>
      <c r="O71" s="16"/>
      <c r="P71" s="16"/>
      <c r="Q71" s="26"/>
      <c r="R71" s="26">
        <f>[3]REG1!Q71</f>
        <v>0</v>
      </c>
      <c r="S71" s="16"/>
      <c r="T71" s="16"/>
      <c r="U71" s="16"/>
      <c r="V71" s="26"/>
      <c r="W71" s="26">
        <f>[3]REG1!V71</f>
        <v>0</v>
      </c>
      <c r="X71" s="16"/>
      <c r="Y71" s="16"/>
      <c r="Z71" s="16"/>
      <c r="AA71" s="26"/>
      <c r="AB71" s="26">
        <f>[3]REG1!AA71</f>
        <v>0</v>
      </c>
      <c r="AC71" s="16"/>
      <c r="AD71" s="16"/>
      <c r="AE71" s="16"/>
      <c r="AF71" s="16"/>
      <c r="AG71" s="26"/>
      <c r="AH71" s="16"/>
      <c r="AI71" s="16"/>
    </row>
    <row r="72" spans="1:37" s="30" customFormat="1" x14ac:dyDescent="0.2">
      <c r="A72" s="27" t="s">
        <v>64</v>
      </c>
      <c r="B72" s="16">
        <f>+C84</f>
        <v>94.627656351511533</v>
      </c>
      <c r="C72" s="16">
        <f>[3]REG1!B72</f>
        <v>93.51</v>
      </c>
      <c r="D72" s="16"/>
      <c r="E72" s="16">
        <f>B72-C72</f>
        <v>1.1176563515115276</v>
      </c>
      <c r="F72" s="28"/>
      <c r="G72" s="28">
        <f>+C85</f>
        <v>100</v>
      </c>
      <c r="H72" s="28">
        <f>[3]REG1!G72</f>
        <v>100</v>
      </c>
      <c r="I72" s="28"/>
      <c r="J72" s="28">
        <f>G72-H72</f>
        <v>0</v>
      </c>
      <c r="K72" s="28"/>
      <c r="L72" s="28">
        <f>+C86</f>
        <v>97.80426432869011</v>
      </c>
      <c r="M72" s="28">
        <f>[3]REG1!L72</f>
        <v>97.99</v>
      </c>
      <c r="N72" s="28"/>
      <c r="O72" s="28">
        <f>L72-M72</f>
        <v>-0.18573567130988522</v>
      </c>
      <c r="P72" s="28"/>
      <c r="Q72" s="29">
        <f>+C87</f>
        <v>97.58334279737997</v>
      </c>
      <c r="R72" s="29">
        <f>[3]REG1!Q72</f>
        <v>97.31</v>
      </c>
      <c r="S72" s="28"/>
      <c r="T72" s="28">
        <f>Q72-R72</f>
        <v>0.27334279737996781</v>
      </c>
      <c r="U72" s="28"/>
      <c r="V72" s="28">
        <f>+C88</f>
        <v>100</v>
      </c>
      <c r="W72" s="28">
        <f>[3]REG1!V72</f>
        <v>100</v>
      </c>
      <c r="X72" s="28"/>
      <c r="Y72" s="28">
        <f>V72-W72</f>
        <v>0</v>
      </c>
      <c r="Z72" s="28"/>
      <c r="AA72" s="28">
        <f>+C89</f>
        <v>96.924585991804207</v>
      </c>
      <c r="AB72" s="28">
        <f>[3]REG1!AA72</f>
        <v>96.72</v>
      </c>
      <c r="AC72" s="28"/>
      <c r="AD72" s="28">
        <f>AA72-AB72</f>
        <v>0.20458599180420833</v>
      </c>
      <c r="AE72" s="28"/>
      <c r="AF72" s="28">
        <f>(B72+G72+L72+Q72+V72+AA72)/6</f>
        <v>97.823308244897632</v>
      </c>
      <c r="AG72" s="28">
        <f>(C72+H72+M72+R72+W72+AB72)/6</f>
        <v>97.588333333333324</v>
      </c>
      <c r="AH72" s="28"/>
      <c r="AI72" s="28">
        <f>AF72-AG72</f>
        <v>0.23497491156430783</v>
      </c>
    </row>
    <row r="73" spans="1:37" x14ac:dyDescent="0.2">
      <c r="A73" s="14" t="s">
        <v>65</v>
      </c>
      <c r="B73" s="15">
        <v>261864</v>
      </c>
      <c r="C73" s="15">
        <v>257578</v>
      </c>
      <c r="D73" s="15">
        <f>B73-C73</f>
        <v>4286</v>
      </c>
      <c r="E73" s="15">
        <f>D73/C73*100</f>
        <v>1.6639619843309601</v>
      </c>
      <c r="F73" s="16"/>
      <c r="G73" s="15">
        <v>185019</v>
      </c>
      <c r="H73" s="15">
        <v>181403</v>
      </c>
      <c r="I73" s="15">
        <f>G73-H73</f>
        <v>3616</v>
      </c>
      <c r="J73" s="15">
        <f>I73/H73*100</f>
        <v>1.993351818878409</v>
      </c>
      <c r="K73" s="16"/>
      <c r="L73" s="15">
        <v>203031</v>
      </c>
      <c r="M73" s="15">
        <v>198531</v>
      </c>
      <c r="N73" s="15">
        <f>L73-M73</f>
        <v>4500</v>
      </c>
      <c r="O73" s="15">
        <f>N73/M73*100</f>
        <v>2.2666485334783988</v>
      </c>
      <c r="P73" s="16"/>
      <c r="Q73" s="15">
        <v>170965</v>
      </c>
      <c r="R73" s="15">
        <v>166132</v>
      </c>
      <c r="S73" s="15">
        <f>Q73-R73</f>
        <v>4833</v>
      </c>
      <c r="T73" s="15">
        <f>S73/R73*100</f>
        <v>2.9091324970505381</v>
      </c>
      <c r="U73" s="16"/>
      <c r="V73" s="15">
        <v>93209</v>
      </c>
      <c r="W73" s="15">
        <v>89662</v>
      </c>
      <c r="X73" s="15">
        <f>V73-W73</f>
        <v>3547</v>
      </c>
      <c r="Y73" s="15">
        <f>X73/W73*100</f>
        <v>3.955967968593161</v>
      </c>
      <c r="Z73" s="16"/>
      <c r="AA73" s="15">
        <v>221358</v>
      </c>
      <c r="AB73" s="15">
        <v>214706</v>
      </c>
      <c r="AC73" s="15">
        <f>AA73-AB73</f>
        <v>6652</v>
      </c>
      <c r="AD73" s="15">
        <f>AC73/AB73*100</f>
        <v>3.0981900831835159</v>
      </c>
      <c r="AE73" s="16"/>
      <c r="AF73" s="15">
        <f>AA73+V73+B73+Q73+L73+G73</f>
        <v>1135446</v>
      </c>
      <c r="AG73" s="15">
        <f>AB73+W73+C73+R73+M73+H73</f>
        <v>1108012</v>
      </c>
      <c r="AH73" s="15">
        <f>AF73-AG73</f>
        <v>27434</v>
      </c>
      <c r="AI73" s="15">
        <f>AH73/AG73*100</f>
        <v>2.4759659642675351</v>
      </c>
    </row>
    <row r="74" spans="1:37" x14ac:dyDescent="0.2">
      <c r="A74" s="14" t="s">
        <v>66</v>
      </c>
      <c r="B74" s="15">
        <v>388</v>
      </c>
      <c r="C74" s="15">
        <v>393</v>
      </c>
      <c r="D74" s="15">
        <f>B74-C74</f>
        <v>-5</v>
      </c>
      <c r="E74" s="15">
        <f>D74/C74*100</f>
        <v>-1.2722646310432568</v>
      </c>
      <c r="F74" s="16"/>
      <c r="G74" s="15">
        <v>287</v>
      </c>
      <c r="H74" s="15">
        <v>329</v>
      </c>
      <c r="I74" s="15">
        <f>G74-H74</f>
        <v>-42</v>
      </c>
      <c r="J74" s="15">
        <f>I74/H74*100</f>
        <v>-12.76595744680851</v>
      </c>
      <c r="K74" s="16"/>
      <c r="L74" s="15">
        <v>368</v>
      </c>
      <c r="M74" s="15">
        <v>350</v>
      </c>
      <c r="N74" s="15">
        <f>L74-M74</f>
        <v>18</v>
      </c>
      <c r="O74" s="15">
        <f>N74/M74*100</f>
        <v>5.1428571428571423</v>
      </c>
      <c r="P74" s="16"/>
      <c r="Q74" s="15">
        <v>250</v>
      </c>
      <c r="R74" s="15">
        <v>262</v>
      </c>
      <c r="S74" s="15">
        <f>Q74-R74</f>
        <v>-12</v>
      </c>
      <c r="T74" s="15">
        <f>S74/R74*100</f>
        <v>-4.5801526717557248</v>
      </c>
      <c r="U74" s="16"/>
      <c r="V74" s="15">
        <v>181</v>
      </c>
      <c r="W74" s="15">
        <v>183</v>
      </c>
      <c r="X74" s="15">
        <f>V74-W74</f>
        <v>-2</v>
      </c>
      <c r="Y74" s="15">
        <f>X74/W74*100</f>
        <v>-1.0928961748633881</v>
      </c>
      <c r="Z74" s="16"/>
      <c r="AA74" s="15">
        <v>305</v>
      </c>
      <c r="AB74" s="15">
        <v>299</v>
      </c>
      <c r="AC74" s="15">
        <f>AA74-AB74</f>
        <v>6</v>
      </c>
      <c r="AD74" s="15">
        <f>AC74/AB74*100</f>
        <v>2.0066889632107023</v>
      </c>
      <c r="AE74" s="16"/>
      <c r="AF74" s="15">
        <f>AA74+V74+B74+Q74+L74+G74</f>
        <v>1779</v>
      </c>
      <c r="AG74" s="15">
        <f>AB74+W74+C74+R74+M74+H74</f>
        <v>1816</v>
      </c>
      <c r="AH74" s="15">
        <f>AF74-AG74</f>
        <v>-37</v>
      </c>
      <c r="AI74" s="15">
        <f>AH74/AG74*100</f>
        <v>-2.0374449339207046</v>
      </c>
    </row>
    <row r="75" spans="1:37" x14ac:dyDescent="0.2">
      <c r="A75" s="14" t="s">
        <v>67</v>
      </c>
      <c r="B75" s="15">
        <f>B73/B74</f>
        <v>674.90721649484533</v>
      </c>
      <c r="C75" s="15">
        <f>C73/C74</f>
        <v>655.4147582697201</v>
      </c>
      <c r="D75" s="16">
        <f>B75-C75</f>
        <v>19.492458225125233</v>
      </c>
      <c r="E75" s="15">
        <f>D75/C75*100</f>
        <v>2.974064587221819</v>
      </c>
      <c r="F75" s="16"/>
      <c r="G75" s="15">
        <f>G73/G74</f>
        <v>644.66550522648083</v>
      </c>
      <c r="H75" s="15">
        <f>H73/H74</f>
        <v>551.37689969604867</v>
      </c>
      <c r="I75" s="16">
        <f>G75-H75</f>
        <v>93.288605530432164</v>
      </c>
      <c r="J75" s="16">
        <f>I75/H75*100</f>
        <v>16.919208182616703</v>
      </c>
      <c r="K75" s="16"/>
      <c r="L75" s="15">
        <f>L73/L74</f>
        <v>551.7146739130435</v>
      </c>
      <c r="M75" s="15">
        <f>M73/M74</f>
        <v>567.23142857142852</v>
      </c>
      <c r="N75" s="16">
        <f>L75-M75</f>
        <v>-15.516754658385025</v>
      </c>
      <c r="O75" s="16">
        <f>N75/M75*100</f>
        <v>-2.7355244926156415</v>
      </c>
      <c r="P75" s="16"/>
      <c r="Q75" s="15">
        <f>Q73/Q74</f>
        <v>683.86</v>
      </c>
      <c r="R75" s="15">
        <f>R73/R74</f>
        <v>634.09160305343516</v>
      </c>
      <c r="S75" s="16">
        <f>Q75-R75</f>
        <v>49.768396946564849</v>
      </c>
      <c r="T75" s="16">
        <f>S75/R75*100</f>
        <v>7.8487708569089571</v>
      </c>
      <c r="U75" s="16"/>
      <c r="V75" s="15">
        <f>V73/V74</f>
        <v>514.96685082872932</v>
      </c>
      <c r="W75" s="15">
        <f>W73/W74</f>
        <v>489.95628415300547</v>
      </c>
      <c r="X75" s="16">
        <f>V75-W75</f>
        <v>25.010566675723851</v>
      </c>
      <c r="Y75" s="16">
        <f>X75/W75*100</f>
        <v>5.1046526975278992</v>
      </c>
      <c r="Z75" s="16"/>
      <c r="AA75" s="15">
        <f>AA73/AA74</f>
        <v>725.76393442622953</v>
      </c>
      <c r="AB75" s="15">
        <f>AB73/AB74</f>
        <v>718.08026755852848</v>
      </c>
      <c r="AC75" s="16">
        <f>AA75-AB75</f>
        <v>7.6836668677010493</v>
      </c>
      <c r="AD75" s="16">
        <f>AC75/AB75*100</f>
        <v>1.0700289667930163</v>
      </c>
      <c r="AE75" s="16"/>
      <c r="AF75" s="15">
        <f>AF73/AF74</f>
        <v>638.24957841483979</v>
      </c>
      <c r="AG75" s="15">
        <f>AG73/AG74</f>
        <v>610.13876651982378</v>
      </c>
      <c r="AH75" s="16">
        <f>AF75-AG75</f>
        <v>28.110811895016013</v>
      </c>
      <c r="AI75" s="16">
        <f>AH75/AG75*100</f>
        <v>4.6072817263124479</v>
      </c>
    </row>
    <row r="76" spans="1:37" x14ac:dyDescent="0.2">
      <c r="A76" s="14" t="s">
        <v>68</v>
      </c>
      <c r="B76" s="15">
        <f>(1000*B24)/B73</f>
        <v>1302.6063276739073</v>
      </c>
      <c r="C76" s="15">
        <f>(1000*C24)/C73</f>
        <v>1217.0582547034296</v>
      </c>
      <c r="D76" s="16">
        <f>B76-C76</f>
        <v>85.548072970477733</v>
      </c>
      <c r="E76" s="15">
        <f>D76/C76*100</f>
        <v>7.0290861295972995</v>
      </c>
      <c r="F76" s="16"/>
      <c r="G76" s="15">
        <f>(1000*G24)/G73</f>
        <v>1152.0971600754517</v>
      </c>
      <c r="H76" s="15">
        <f>(1000*H24)/H73</f>
        <v>893.09939978941918</v>
      </c>
      <c r="I76" s="16">
        <f>G76-H76</f>
        <v>258.99776028603253</v>
      </c>
      <c r="J76" s="16">
        <f>I76/H76*100</f>
        <v>28.999880679250339</v>
      </c>
      <c r="K76" s="16"/>
      <c r="L76" s="15">
        <f>(1000*L24)/L73</f>
        <v>1519.4514104742623</v>
      </c>
      <c r="M76" s="15">
        <f>(1000*M24)/M73</f>
        <v>1462.3002165908599</v>
      </c>
      <c r="N76" s="16">
        <f>L76-M76</f>
        <v>57.151193883402357</v>
      </c>
      <c r="O76" s="16">
        <f>N76/M76*100</f>
        <v>3.9083078313865016</v>
      </c>
      <c r="P76" s="16"/>
      <c r="Q76" s="15">
        <f>(1000*Q24)/Q73</f>
        <v>1455.321598923756</v>
      </c>
      <c r="R76" s="15">
        <f>(1000*R24)/R73</f>
        <v>1353.5938468807933</v>
      </c>
      <c r="S76" s="16">
        <f>Q76-R76</f>
        <v>101.72775204296272</v>
      </c>
      <c r="T76" s="16">
        <f>S76/R76*100</f>
        <v>7.5153822749256012</v>
      </c>
      <c r="U76" s="16"/>
      <c r="V76" s="15">
        <f>(1000*V24)/V73</f>
        <v>1932.0955135233721</v>
      </c>
      <c r="W76" s="15">
        <f>(1000*W24)/W73</f>
        <v>1583.9575601704178</v>
      </c>
      <c r="X76" s="16">
        <f>V76-W76</f>
        <v>348.13795335295436</v>
      </c>
      <c r="Y76" s="16">
        <f>X76/W76*100</f>
        <v>21.978995025314834</v>
      </c>
      <c r="Z76" s="16"/>
      <c r="AA76" s="15">
        <f>(1000*AA24)/AA73</f>
        <v>1474.5458734267565</v>
      </c>
      <c r="AB76" s="15">
        <f>(1000*AB24)/AB73</f>
        <v>1451.8224153493613</v>
      </c>
      <c r="AC76" s="16">
        <f>AA76-AB76</f>
        <v>22.723458077395208</v>
      </c>
      <c r="AD76" s="16">
        <f>AC76/AB76*100</f>
        <v>1.56516787708689</v>
      </c>
      <c r="AE76" s="16"/>
      <c r="AF76" s="15">
        <f>(1000*AF24)/AF73</f>
        <v>1425.0449431324782</v>
      </c>
      <c r="AG76" s="15">
        <f>(1000*AG24)/AG73</f>
        <v>1303.615218147457</v>
      </c>
      <c r="AH76" s="16">
        <f>AF76-AG76</f>
        <v>121.42972498502127</v>
      </c>
      <c r="AI76" s="16">
        <f>AH76/AG76*100</f>
        <v>9.3148440808770836</v>
      </c>
    </row>
    <row r="77" spans="1:37" x14ac:dyDescent="0.2">
      <c r="A77" s="3" t="s">
        <v>69</v>
      </c>
      <c r="B77" s="15">
        <v>128244</v>
      </c>
      <c r="C77" s="15">
        <v>106622</v>
      </c>
      <c r="D77" s="15">
        <f>B77-C77</f>
        <v>21622</v>
      </c>
      <c r="E77" s="15">
        <f>D77/C77*100</f>
        <v>20.27911688019358</v>
      </c>
      <c r="F77" s="16"/>
      <c r="G77" s="15">
        <v>77317</v>
      </c>
      <c r="H77" s="15">
        <v>65283</v>
      </c>
      <c r="I77" s="15">
        <f>G77-H77</f>
        <v>12034</v>
      </c>
      <c r="J77" s="15">
        <f>I77/H77*100</f>
        <v>18.433589142655819</v>
      </c>
      <c r="K77" s="16"/>
      <c r="L77" s="15">
        <v>75600</v>
      </c>
      <c r="M77" s="15">
        <v>63935</v>
      </c>
      <c r="N77" s="15">
        <f>L77-M77</f>
        <v>11665</v>
      </c>
      <c r="O77" s="15">
        <f>N77/M77*100</f>
        <v>18.245092672245249</v>
      </c>
      <c r="P77" s="16"/>
      <c r="Q77" s="15">
        <v>66637</v>
      </c>
      <c r="R77" s="15">
        <v>55971</v>
      </c>
      <c r="S77" s="15">
        <f>Q77-R77</f>
        <v>10666</v>
      </c>
      <c r="T77" s="15">
        <f>S77/R77*100</f>
        <v>19.0562970109521</v>
      </c>
      <c r="U77" s="16"/>
      <c r="V77" s="15">
        <v>39955</v>
      </c>
      <c r="W77" s="15">
        <v>34190</v>
      </c>
      <c r="X77" s="15">
        <f>V77-W77</f>
        <v>5765</v>
      </c>
      <c r="Y77" s="15">
        <f>X77/W77*100</f>
        <v>16.861655454811348</v>
      </c>
      <c r="Z77" s="16"/>
      <c r="AA77" s="15">
        <v>117083</v>
      </c>
      <c r="AB77" s="15">
        <v>98720</v>
      </c>
      <c r="AC77" s="15">
        <f>AA77-AB77</f>
        <v>18363</v>
      </c>
      <c r="AD77" s="15">
        <f>AC77/AB77*100</f>
        <v>18.601094003241492</v>
      </c>
      <c r="AE77" s="16"/>
      <c r="AF77" s="15">
        <f>AA77+V77+B77+Q77+L77+G77</f>
        <v>504836</v>
      </c>
      <c r="AG77" s="15">
        <f>AB77+W77+C77+R77+M77+H77</f>
        <v>424721</v>
      </c>
      <c r="AH77" s="15">
        <f>AF77-AG77</f>
        <v>80115</v>
      </c>
      <c r="AI77" s="15">
        <f>AH77/AG77*100</f>
        <v>18.862971221107504</v>
      </c>
    </row>
    <row r="78" spans="1:37" x14ac:dyDescent="0.2">
      <c r="A78" s="3" t="s">
        <v>70</v>
      </c>
      <c r="B78" s="31" t="s">
        <v>71</v>
      </c>
      <c r="C78" s="31"/>
      <c r="D78" s="31"/>
      <c r="E78" s="31"/>
      <c r="F78" s="16"/>
      <c r="G78" s="31" t="s">
        <v>72</v>
      </c>
      <c r="H78" s="31"/>
      <c r="I78" s="31"/>
      <c r="J78" s="31"/>
      <c r="K78" s="16"/>
      <c r="L78" s="31" t="s">
        <v>72</v>
      </c>
      <c r="M78" s="31"/>
      <c r="N78" s="31"/>
      <c r="O78" s="31"/>
      <c r="P78" s="16"/>
      <c r="Q78" s="31" t="s">
        <v>72</v>
      </c>
      <c r="R78" s="31"/>
      <c r="S78" s="31"/>
      <c r="T78" s="31"/>
      <c r="U78" s="16"/>
      <c r="V78" s="31" t="s">
        <v>72</v>
      </c>
      <c r="W78" s="31"/>
      <c r="X78" s="31"/>
      <c r="Y78" s="31"/>
      <c r="Z78" s="31" t="s">
        <v>72</v>
      </c>
      <c r="AA78" s="31"/>
      <c r="AB78" s="31"/>
      <c r="AC78" s="31"/>
      <c r="AD78" s="31"/>
      <c r="AE78" s="16"/>
      <c r="AF78" s="16"/>
      <c r="AG78" s="16"/>
      <c r="AH78" s="16"/>
      <c r="AI78" s="16"/>
    </row>
    <row r="79" spans="1:37" ht="15" customHeight="1" x14ac:dyDescent="0.2"/>
    <row r="80" spans="1:37" ht="15" customHeight="1" x14ac:dyDescent="0.2">
      <c r="A80" s="3" t="s">
        <v>73</v>
      </c>
      <c r="B80" s="23">
        <f>+'[11]Summary 09_2024'!$P$4</f>
        <v>-177075.40760999999</v>
      </c>
      <c r="G80" s="23">
        <f>+'[11]Summary 09_2024'!$P$5</f>
        <v>-155654.51313000001</v>
      </c>
      <c r="L80" s="23">
        <f>+'[11]Summary 09_2024'!$P$6</f>
        <v>137037.83291999999</v>
      </c>
      <c r="Q80" s="23">
        <f>+'[11]Summary 09_2024'!$P$7</f>
        <v>83522.330680000014</v>
      </c>
      <c r="V80" s="23">
        <f>+'[11]Summary 09_2024'!$P$8</f>
        <v>-34825.942120000022</v>
      </c>
      <c r="AA80" s="23">
        <f>+'[11]Summary 09_2024'!$P$9</f>
        <v>394457.92832000001</v>
      </c>
      <c r="AF80" s="15">
        <f>G80+L80+Q80+B80+V80+AA80</f>
        <v>247462.22905999998</v>
      </c>
    </row>
    <row r="81" spans="1:27" s="32" customFormat="1" ht="15" customHeight="1" x14ac:dyDescent="0.2">
      <c r="A81" s="32" t="s">
        <v>74</v>
      </c>
      <c r="B81" s="33">
        <f>+B32+B14-B80</f>
        <v>-1.5600000042468309E-3</v>
      </c>
      <c r="C81" s="34"/>
      <c r="D81" s="34"/>
      <c r="E81" s="34"/>
      <c r="G81" s="35">
        <f>+G32+G14-G80</f>
        <v>-1.920000184327364E-3</v>
      </c>
      <c r="L81" s="35">
        <f>+L32+L14-L80</f>
        <v>3.070000559091568E-3</v>
      </c>
      <c r="Q81" s="35">
        <f>+Q32+Q14-Q80</f>
        <v>4.0399992576567456E-3</v>
      </c>
      <c r="V81" s="35">
        <f>+V32+V14-V80</f>
        <v>-1.2199998091091402E-3</v>
      </c>
      <c r="AA81" s="35">
        <f>+AA32+AA14-AA80</f>
        <v>-2.9099989333190024E-3</v>
      </c>
    </row>
    <row r="82" spans="1:27" ht="15" customHeight="1" x14ac:dyDescent="0.2"/>
    <row r="83" spans="1:27" ht="15" customHeight="1" x14ac:dyDescent="0.25">
      <c r="A83" s="36" t="s">
        <v>75</v>
      </c>
    </row>
    <row r="84" spans="1:27" ht="15" customHeight="1" outlineLevel="1" x14ac:dyDescent="0.2">
      <c r="A84" s="3" t="str">
        <f>'[11]Summary 09_2024'!A4</f>
        <v>CENPELCO</v>
      </c>
      <c r="B84" s="37">
        <f>'[11]Summary 09_2024'!N4</f>
        <v>94.627656351511533</v>
      </c>
      <c r="C84" s="38">
        <f t="shared" ref="C84:C89" si="35">IF(B84="NDA","0",B84)</f>
        <v>94.627656351511533</v>
      </c>
    </row>
    <row r="85" spans="1:27" ht="15" customHeight="1" outlineLevel="1" x14ac:dyDescent="0.2">
      <c r="A85" s="3" t="str">
        <f>'[11]Summary 09_2024'!A5</f>
        <v>INEC</v>
      </c>
      <c r="B85" s="37">
        <f>'[11]Summary 09_2024'!N5</f>
        <v>100</v>
      </c>
      <c r="C85" s="38">
        <f t="shared" si="35"/>
        <v>100</v>
      </c>
    </row>
    <row r="86" spans="1:27" ht="15" customHeight="1" outlineLevel="1" x14ac:dyDescent="0.2">
      <c r="A86" s="3" t="str">
        <f>'[11]Summary 09_2024'!A6</f>
        <v>ISECO</v>
      </c>
      <c r="B86" s="37">
        <f>'[11]Summary 09_2024'!N6</f>
        <v>97.80426432869011</v>
      </c>
      <c r="C86" s="38">
        <f t="shared" si="35"/>
        <v>97.80426432869011</v>
      </c>
    </row>
    <row r="87" spans="1:27" ht="15" customHeight="1" outlineLevel="1" x14ac:dyDescent="0.2">
      <c r="A87" s="3" t="str">
        <f>'[11]Summary 09_2024'!A7</f>
        <v>LUELCO</v>
      </c>
      <c r="B87" s="37">
        <f>'[11]Summary 09_2024'!N7</f>
        <v>97.58334279737997</v>
      </c>
      <c r="C87" s="38">
        <f t="shared" si="35"/>
        <v>97.58334279737997</v>
      </c>
    </row>
    <row r="88" spans="1:27" ht="15" customHeight="1" outlineLevel="1" x14ac:dyDescent="0.2">
      <c r="A88" s="3" t="str">
        <f>'[11]Summary 09_2024'!A8</f>
        <v>PANELCO I</v>
      </c>
      <c r="B88" s="37">
        <f>'[11]Summary 09_2024'!N8</f>
        <v>100</v>
      </c>
      <c r="C88" s="38">
        <f t="shared" si="35"/>
        <v>100</v>
      </c>
    </row>
    <row r="89" spans="1:27" ht="15" customHeight="1" outlineLevel="1" x14ac:dyDescent="0.2">
      <c r="A89" s="3" t="str">
        <f>'[11]Summary 09_2024'!A9</f>
        <v>PANELCO III</v>
      </c>
      <c r="B89" s="37">
        <f>'[11]Summary 09_2024'!N9</f>
        <v>96.924585991804207</v>
      </c>
      <c r="C89" s="38">
        <f t="shared" si="35"/>
        <v>96.924585991804207</v>
      </c>
    </row>
    <row r="90" spans="1:27" ht="15" customHeight="1" x14ac:dyDescent="0.2"/>
    <row r="91" spans="1:27" ht="15" customHeight="1" x14ac:dyDescent="0.2"/>
    <row r="92" spans="1:27" ht="15" customHeight="1" x14ac:dyDescent="0.2">
      <c r="A92" s="3" t="s">
        <v>76</v>
      </c>
      <c r="B92" s="23">
        <f>+'[11]Summary 09_2024'!$S$4</f>
        <v>188483.33166</v>
      </c>
      <c r="G92" s="23">
        <f>+'[11]Summary 09_2024'!$S$5</f>
        <v>301393.32936000003</v>
      </c>
      <c r="L92" s="23">
        <f>+'[11]Summary 09_2024'!$S$6</f>
        <v>224526.51402</v>
      </c>
      <c r="Q92" s="23">
        <f>+'[11]Summary 09_2024'!$S$7</f>
        <v>333357.02512000001</v>
      </c>
      <c r="V92" s="23">
        <f>+'[11]Summary 09_2024'!$S$8</f>
        <v>124123.64706999999</v>
      </c>
      <c r="AA92" s="23">
        <f>+'[11]Summary 09_2024'!$S$9</f>
        <v>567860.81352999993</v>
      </c>
    </row>
    <row r="93" spans="1:27" s="40" customFormat="1" ht="15" customHeight="1" x14ac:dyDescent="0.2">
      <c r="A93" s="32" t="s">
        <v>74</v>
      </c>
      <c r="B93" s="39">
        <f>B37-B92</f>
        <v>-1.6600000089965761E-3</v>
      </c>
      <c r="G93" s="39">
        <f>G37-G92</f>
        <v>6.399999838322401E-4</v>
      </c>
      <c r="L93" s="39">
        <f>L37-L92</f>
        <v>-4.0199999930337071E-3</v>
      </c>
      <c r="Q93" s="39">
        <f>Q37-Q92</f>
        <v>4.8800000222399831E-3</v>
      </c>
      <c r="V93" s="39">
        <f>V37-V92</f>
        <v>2.9300000023795292E-3</v>
      </c>
      <c r="AA93" s="39">
        <f>AA37-AA92</f>
        <v>-3.5299998708069324E-3</v>
      </c>
    </row>
    <row r="94" spans="1:27" ht="15" customHeight="1" x14ac:dyDescent="0.2"/>
    <row r="95" spans="1:27" ht="15" customHeight="1" x14ac:dyDescent="0.2"/>
    <row r="96" spans="1:27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</sheetData>
  <mergeCells count="25">
    <mergeCell ref="AH8:AI8"/>
    <mergeCell ref="B78:E78"/>
    <mergeCell ref="G78:J78"/>
    <mergeCell ref="L78:O78"/>
    <mergeCell ref="Q78:T78"/>
    <mergeCell ref="V78:Y78"/>
    <mergeCell ref="Z78:AD78"/>
    <mergeCell ref="D8:E8"/>
    <mergeCell ref="I8:J8"/>
    <mergeCell ref="N8:O8"/>
    <mergeCell ref="S8:T8"/>
    <mergeCell ref="X8:Y8"/>
    <mergeCell ref="AC8:AD8"/>
    <mergeCell ref="B6:E6"/>
    <mergeCell ref="G6:J6"/>
    <mergeCell ref="L6:O6"/>
    <mergeCell ref="Q6:T6"/>
    <mergeCell ref="V6:Y6"/>
    <mergeCell ref="AA6:AD6"/>
    <mergeCell ref="B5:E5"/>
    <mergeCell ref="G5:J5"/>
    <mergeCell ref="L5:O5"/>
    <mergeCell ref="Q5:T5"/>
    <mergeCell ref="V5:Y5"/>
    <mergeCell ref="AA5:AD5"/>
  </mergeCells>
  <pageMargins left="0.96" right="0" top="0.4" bottom="0" header="0.4" footer="0.3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REG1</vt:lpstr>
      <vt:lpstr>'REG1'!Print_Area</vt:lpstr>
      <vt:lpstr>'REG1'!Print_Titles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2025-01-22T07:35:46Z</dcterms:created>
  <dcterms:modified xsi:type="dcterms:W3CDTF">2025-01-22T07:37:03Z</dcterms:modified>
</cp:coreProperties>
</file>